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5\"/>
    </mc:Choice>
  </mc:AlternateContent>
  <xr:revisionPtr revIDLastSave="0" documentId="13_ncr:1_{923AEFF2-958F-4877-859E-D40E98B5F0E1}" xr6:coauthVersionLast="47" xr6:coauthVersionMax="47" xr10:uidLastSave="{00000000-0000-0000-0000-000000000000}"/>
  <bookViews>
    <workbookView xWindow="28680" yWindow="-120" windowWidth="29040" windowHeight="15720" firstSheet="1" activeTab="1" xr2:uid="{515C1E32-3A1A-4E87-A3CB-FF188909A201}"/>
  </bookViews>
  <sheets>
    <sheet name="Disclaimer" sheetId="9" state="hidden" r:id="rId1"/>
    <sheet name="Dairy Revenue Estimator" sheetId="10" r:id="rId2"/>
    <sheet name="Quota Price Estimator" sheetId="1" r:id="rId3"/>
    <sheet name="Assumptions Summary" sheetId="11" r:id="rId4"/>
    <sheet name="Monthly Utilization by Class" sheetId="2" r:id="rId5"/>
    <sheet name="Monthly Pool Butterfat Percent" sheetId="3" r:id="rId6"/>
    <sheet name="Monthly Avg Daily Production" sheetId="4" r:id="rId7"/>
    <sheet name="Monthly Excess Milk Percentage" sheetId="5" r:id="rId8"/>
    <sheet name="Percent Cls I Package Surplus" sheetId="6" r:id="rId9"/>
    <sheet name="Perc Cls I Pckg Surp Contiguous" sheetId="8" r:id="rId10"/>
    <sheet name="Perc Bulk Surp of Pool Rec" sheetId="7" r:id="rId11"/>
  </sheets>
  <definedNames>
    <definedName name="Butterfat_Production">'Quota Price Estimator'!$C$13</definedName>
    <definedName name="Dairy_Daily_Quota">'Dairy Revenue Estimator'!$B$13</definedName>
    <definedName name="DairyButterfatPercent">'Dairy Revenue Estimator'!$B$15</definedName>
    <definedName name="DaysPerMonth">'Quota Price Estimator'!$B$5</definedName>
    <definedName name="Est_Dairy_Daily_Production">'Dairy Revenue Estimator'!$B$14</definedName>
    <definedName name="EstBulkSurpPoolMilkUtPerc">'Perc Bulk Surp of Pool Rec'!$B$149</definedName>
    <definedName name="EstClsIBFUtPerc">'Monthly Utilization by Class'!$B$129</definedName>
    <definedName name="EstClsIIBFUtPerc">'Monthly Utilization by Class'!$C$129</definedName>
    <definedName name="EstClsIIIBFUtPerc">'Monthly Utilization by Class'!$D$129</definedName>
    <definedName name="EstClsIIISkimUtPerc">'Monthly Utilization by Class'!$J$129</definedName>
    <definedName name="EstClsIISkimUTPerc">'Monthly Utilization by Class'!$I$129</definedName>
    <definedName name="EstClsIPckgSurpPoolBFUtPerc">'Percent Cls I Package Surplus'!$B$153</definedName>
    <definedName name="EstClsIPckgSurpPoolSkimUtPerc">'Percent Cls I Package Surplus'!$C$153</definedName>
    <definedName name="EstClsISkimUtPerc">'Monthly Utilization by Class'!$H$129</definedName>
    <definedName name="ExcessButterfatPrice">'Quota Price Estimator'!$H$35</definedName>
    <definedName name="ExcessSkimPrice">'Quota Price Estimator'!$I$35</definedName>
    <definedName name="MTClassIButterfatPrice">'Quota Price Estimator'!$H$22</definedName>
    <definedName name="MTClassIIButterfatPrice">'Quota Price Estimator'!$H$23</definedName>
    <definedName name="MTClassIIIButterfatPrice">'Quota Price Estimator'!$H$24</definedName>
    <definedName name="MTClassIIIMilkPrice">'Quota Price Estimator'!$G$24</definedName>
    <definedName name="MTClassIIISkimPrice">'Quota Price Estimator'!$I$24</definedName>
    <definedName name="MTClassIIMilkPrice">'Quota Price Estimator'!$G$23</definedName>
    <definedName name="MTClassIISkimPrice">'Quota Price Estimator'!$I$23</definedName>
    <definedName name="MTClassIMilkPrice">'Quota Price Estimator'!$G$22</definedName>
    <definedName name="MTClassISkimPrice">'Quota Price Estimator'!$I$22</definedName>
    <definedName name="PercClsIPckgSurptoContigStates">'Perc Cls I Pckg Surp Contiguous'!$B$126</definedName>
    <definedName name="PoolButterfatPercent">'Monthly Pool Butterfat Percent'!$B$149</definedName>
    <definedName name="PoolDailyProd">'Monthly Avg Daily Production'!$B$149</definedName>
    <definedName name="Pooling_Month">'Quota Price Estimator'!$B$4</definedName>
    <definedName name="PoolOverQuotaProdPerc">'Monthly Excess Milk Percentage'!$B$149</definedName>
    <definedName name="_xlnm.Print_Area" localSheetId="3">'Assumptions Summary'!$A$1:$B$30</definedName>
    <definedName name="_xlnm.Print_Area" localSheetId="1">'Dairy Revenue Estimator'!$A$1:$I$21</definedName>
    <definedName name="_xlnm.Print_Area" localSheetId="2">'Quota Price Estimator'!$A$1:$I$35,'Quota Price Estimator'!$A$39:$I$60</definedName>
    <definedName name="_xlnm.Print_Titles" localSheetId="2">'Quota Price Estimator'!$1:$3</definedName>
    <definedName name="QuotaButterfatPrice">'Quota Price Estimator'!$C$35</definedName>
    <definedName name="QuotaSkimPrice">'Quota Price Estimator'!$D$35</definedName>
    <definedName name="Skim_Production">'Quota Price Estimator'!$D$13</definedName>
    <definedName name="SurplusAdjustmentBulkSales">'Quota Price Estimator'!$B$59</definedName>
    <definedName name="SurplusAdjustmentPckgClassI">'Quota Price Estimator'!$B$52</definedName>
    <definedName name="SurplusGainLoss">'Quota Price Estimator'!#REF!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9" i="7" l="1"/>
  <c r="B158" i="7"/>
  <c r="B155" i="7"/>
  <c r="B153" i="7"/>
  <c r="B152" i="7"/>
  <c r="B135" i="8"/>
  <c r="B132" i="8"/>
  <c r="B130" i="8"/>
  <c r="B129" i="8"/>
  <c r="C163" i="6"/>
  <c r="C162" i="6"/>
  <c r="C159" i="6"/>
  <c r="C157" i="6"/>
  <c r="C156" i="6"/>
  <c r="B163" i="6"/>
  <c r="B162" i="6"/>
  <c r="B159" i="6"/>
  <c r="B157" i="6"/>
  <c r="B156" i="6"/>
  <c r="B157" i="5"/>
  <c r="B156" i="5"/>
  <c r="B155" i="5"/>
  <c r="B153" i="5"/>
  <c r="B152" i="5"/>
  <c r="B156" i="4"/>
  <c r="B154" i="4"/>
  <c r="B153" i="4"/>
  <c r="B159" i="3"/>
  <c r="B158" i="3"/>
  <c r="B155" i="3"/>
  <c r="B153" i="3"/>
  <c r="C139" i="2"/>
  <c r="D139" i="2"/>
  <c r="E139" i="2"/>
  <c r="H139" i="2"/>
  <c r="I139" i="2"/>
  <c r="J139" i="2"/>
  <c r="K139" i="2"/>
  <c r="B139" i="2"/>
  <c r="B138" i="2"/>
  <c r="B135" i="2"/>
  <c r="C138" i="2"/>
  <c r="D138" i="2"/>
  <c r="E138" i="2"/>
  <c r="H138" i="2"/>
  <c r="I138" i="2"/>
  <c r="J138" i="2"/>
  <c r="K138" i="2"/>
  <c r="C135" i="2"/>
  <c r="D135" i="2"/>
  <c r="E135" i="2"/>
  <c r="H135" i="2"/>
  <c r="I135" i="2"/>
  <c r="J135" i="2"/>
  <c r="K135" i="2"/>
  <c r="C133" i="2"/>
  <c r="D133" i="2"/>
  <c r="E133" i="2"/>
  <c r="H133" i="2"/>
  <c r="I133" i="2"/>
  <c r="J133" i="2"/>
  <c r="K133" i="2"/>
  <c r="B133" i="2"/>
  <c r="C132" i="2"/>
  <c r="D132" i="2"/>
  <c r="E132" i="2"/>
  <c r="H132" i="2"/>
  <c r="I132" i="2"/>
  <c r="J132" i="2"/>
  <c r="K132" i="2"/>
  <c r="B132" i="2"/>
  <c r="F147" i="6"/>
  <c r="K122" i="2" l="1"/>
  <c r="E122" i="2"/>
  <c r="B149" i="7"/>
  <c r="B152" i="3"/>
  <c r="F146" i="6"/>
  <c r="H121" i="2" l="1"/>
  <c r="K121" i="2" s="1"/>
  <c r="E121" i="2"/>
  <c r="C158" i="6" l="1"/>
  <c r="C153" i="6" s="1"/>
  <c r="F145" i="6"/>
  <c r="K120" i="2"/>
  <c r="B120" i="2"/>
  <c r="C160" i="6" l="1"/>
  <c r="E120" i="2"/>
  <c r="C134" i="2"/>
  <c r="D134" i="2"/>
  <c r="D129" i="2" s="1"/>
  <c r="I134" i="2"/>
  <c r="I129" i="2" s="1"/>
  <c r="J134" i="2"/>
  <c r="J129" i="2" s="1"/>
  <c r="F144" i="6"/>
  <c r="C140" i="2" l="1"/>
  <c r="C129" i="2"/>
  <c r="D140" i="2"/>
  <c r="K119" i="2"/>
  <c r="E119" i="2"/>
  <c r="F143" i="6" l="1"/>
  <c r="K118" i="2" l="1"/>
  <c r="E118" i="2"/>
  <c r="F142" i="6"/>
  <c r="D141" i="2" l="1"/>
  <c r="C136" i="2"/>
  <c r="C141" i="2"/>
  <c r="I141" i="2"/>
  <c r="J136" i="2"/>
  <c r="I136" i="2"/>
  <c r="I140" i="2"/>
  <c r="D136" i="2"/>
  <c r="K117" i="2"/>
  <c r="E117" i="2"/>
  <c r="J140" i="2" l="1"/>
  <c r="J141" i="2"/>
  <c r="F141" i="6"/>
  <c r="H116" i="2"/>
  <c r="K116" i="2" l="1"/>
  <c r="E116" i="2"/>
  <c r="F140" i="6" l="1"/>
  <c r="B115" i="2"/>
  <c r="E115" i="2" s="1"/>
  <c r="K115" i="2"/>
  <c r="D27" i="1"/>
  <c r="F139" i="6" l="1"/>
  <c r="K114" i="2"/>
  <c r="E114" i="2"/>
  <c r="F138" i="6"/>
  <c r="K113" i="2" l="1"/>
  <c r="B113" i="2"/>
  <c r="E113" i="2" l="1"/>
  <c r="C164" i="6" l="1"/>
  <c r="F137" i="6"/>
  <c r="C165" i="6" l="1"/>
  <c r="K112" i="2"/>
  <c r="E112" i="2"/>
  <c r="F136" i="6" l="1"/>
  <c r="K111" i="2"/>
  <c r="E111" i="2"/>
  <c r="F135" i="6" l="1"/>
  <c r="H110" i="2"/>
  <c r="E110" i="2"/>
  <c r="F134" i="6"/>
  <c r="K109" i="2"/>
  <c r="E109" i="2"/>
  <c r="A2" i="11"/>
  <c r="K110" i="2" l="1"/>
  <c r="H134" i="2"/>
  <c r="H129" i="2" s="1"/>
  <c r="K129" i="2" s="1"/>
  <c r="F133" i="6"/>
  <c r="K108" i="2"/>
  <c r="E108" i="2"/>
  <c r="B5" i="1"/>
  <c r="G15" i="10" s="1"/>
  <c r="F132" i="6"/>
  <c r="K107" i="2"/>
  <c r="E107" i="2"/>
  <c r="E134" i="2" s="1"/>
  <c r="F131" i="6"/>
  <c r="H106" i="2"/>
  <c r="E106" i="2"/>
  <c r="F130" i="6"/>
  <c r="K105" i="2"/>
  <c r="B105" i="2"/>
  <c r="E105" i="2" s="1"/>
  <c r="B154" i="3"/>
  <c r="B154" i="5"/>
  <c r="B149" i="5" s="1"/>
  <c r="B155" i="4"/>
  <c r="B149" i="4" s="1"/>
  <c r="M139" i="2"/>
  <c r="O138" i="2"/>
  <c r="F129" i="6"/>
  <c r="K104" i="2"/>
  <c r="E104" i="2"/>
  <c r="A2" i="1"/>
  <c r="A2" i="10"/>
  <c r="B154" i="7"/>
  <c r="B161" i="7" s="1"/>
  <c r="F159" i="6"/>
  <c r="F128" i="6"/>
  <c r="B131" i="8"/>
  <c r="B103" i="2"/>
  <c r="E103" i="2" s="1"/>
  <c r="K103" i="2"/>
  <c r="F127" i="6"/>
  <c r="K102" i="2"/>
  <c r="E102" i="2"/>
  <c r="F126" i="6"/>
  <c r="K101" i="2"/>
  <c r="E101" i="2"/>
  <c r="F125" i="6"/>
  <c r="K100" i="2"/>
  <c r="E100" i="2"/>
  <c r="B158" i="6"/>
  <c r="B153" i="6" s="1"/>
  <c r="F124" i="6"/>
  <c r="K99" i="2"/>
  <c r="E99" i="2"/>
  <c r="F157" i="6"/>
  <c r="F123" i="6"/>
  <c r="E98" i="2"/>
  <c r="K98" i="2"/>
  <c r="F122" i="6"/>
  <c r="H87" i="2"/>
  <c r="K87" i="2"/>
  <c r="K97" i="2"/>
  <c r="E97" i="2"/>
  <c r="B60" i="11"/>
  <c r="F121" i="6"/>
  <c r="K95" i="2"/>
  <c r="E95" i="2"/>
  <c r="F119" i="6"/>
  <c r="K94" i="2"/>
  <c r="E94" i="2"/>
  <c r="F120" i="6"/>
  <c r="K96" i="2"/>
  <c r="E96" i="2"/>
  <c r="F118" i="6"/>
  <c r="K93" i="2"/>
  <c r="E93" i="2"/>
  <c r="B72" i="1"/>
  <c r="B73" i="1"/>
  <c r="P83" i="1"/>
  <c r="N83" i="1"/>
  <c r="N91" i="1" s="1"/>
  <c r="O91" i="1"/>
  <c r="G83" i="1" s="1"/>
  <c r="F117" i="6"/>
  <c r="K92" i="2"/>
  <c r="E92" i="2"/>
  <c r="F116" i="6"/>
  <c r="K91" i="2"/>
  <c r="B91" i="2"/>
  <c r="F115" i="6"/>
  <c r="K90" i="2"/>
  <c r="E90" i="2"/>
  <c r="F114" i="6"/>
  <c r="H89" i="2"/>
  <c r="B89" i="2"/>
  <c r="E89" i="2" s="1"/>
  <c r="F112" i="6"/>
  <c r="E87" i="2"/>
  <c r="F95" i="6"/>
  <c r="F96" i="6"/>
  <c r="F97" i="6"/>
  <c r="F98" i="6"/>
  <c r="F99" i="6"/>
  <c r="F100" i="6"/>
  <c r="F101" i="6"/>
  <c r="F102" i="6"/>
  <c r="F103" i="6"/>
  <c r="F104" i="6"/>
  <c r="F105" i="6"/>
  <c r="F106" i="6"/>
  <c r="F107" i="6"/>
  <c r="F108" i="6"/>
  <c r="F109" i="6"/>
  <c r="F110" i="6"/>
  <c r="F111" i="6"/>
  <c r="F113" i="6"/>
  <c r="E88" i="2"/>
  <c r="K85" i="2"/>
  <c r="E85" i="2"/>
  <c r="K86" i="2"/>
  <c r="E86" i="2"/>
  <c r="K88" i="2"/>
  <c r="K84" i="2"/>
  <c r="E84" i="2"/>
  <c r="K83" i="2"/>
  <c r="E83" i="2"/>
  <c r="K82" i="2"/>
  <c r="E82" i="2"/>
  <c r="K81" i="2"/>
  <c r="E81" i="2"/>
  <c r="K80" i="2"/>
  <c r="E80" i="2"/>
  <c r="K79" i="2"/>
  <c r="E79" i="2"/>
  <c r="K78" i="2"/>
  <c r="E78" i="2"/>
  <c r="K77" i="2"/>
  <c r="E77" i="2"/>
  <c r="K76" i="2"/>
  <c r="E76" i="2"/>
  <c r="K75" i="2"/>
  <c r="E75" i="2"/>
  <c r="K74" i="2"/>
  <c r="E74" i="2"/>
  <c r="K73" i="2"/>
  <c r="E73" i="2"/>
  <c r="K72" i="2"/>
  <c r="E72" i="2"/>
  <c r="K71" i="2"/>
  <c r="E71" i="2"/>
  <c r="K70" i="2"/>
  <c r="E70" i="2"/>
  <c r="F94" i="6"/>
  <c r="K69" i="2"/>
  <c r="E69" i="2"/>
  <c r="F93" i="6"/>
  <c r="K68" i="2"/>
  <c r="E68" i="2"/>
  <c r="F92" i="6"/>
  <c r="K67" i="2"/>
  <c r="E67" i="2"/>
  <c r="F91" i="6"/>
  <c r="K66" i="2"/>
  <c r="E66" i="2"/>
  <c r="F90" i="6"/>
  <c r="K65" i="2"/>
  <c r="E65" i="2"/>
  <c r="F89" i="6"/>
  <c r="K64" i="2"/>
  <c r="E64" i="2"/>
  <c r="F88" i="6"/>
  <c r="K63" i="2"/>
  <c r="E63" i="2"/>
  <c r="F87" i="6"/>
  <c r="K62" i="2"/>
  <c r="E62" i="2"/>
  <c r="F86" i="6"/>
  <c r="K61" i="2"/>
  <c r="E61" i="2"/>
  <c r="F85" i="6"/>
  <c r="K60" i="2"/>
  <c r="E60" i="2"/>
  <c r="F84" i="6"/>
  <c r="K59" i="2"/>
  <c r="E59" i="2"/>
  <c r="F83" i="6"/>
  <c r="K58" i="2"/>
  <c r="E58" i="2"/>
  <c r="F82" i="6"/>
  <c r="K57" i="2"/>
  <c r="E57" i="2"/>
  <c r="F81" i="6"/>
  <c r="K56" i="2"/>
  <c r="E56" i="2"/>
  <c r="F80" i="6"/>
  <c r="K55" i="2"/>
  <c r="E55" i="2"/>
  <c r="F79" i="6"/>
  <c r="K54" i="2"/>
  <c r="E54" i="2"/>
  <c r="F78" i="6"/>
  <c r="K53" i="2"/>
  <c r="E53" i="2"/>
  <c r="F77" i="6"/>
  <c r="K52" i="2"/>
  <c r="E52" i="2"/>
  <c r="F76" i="6"/>
  <c r="K51" i="2"/>
  <c r="E51" i="2"/>
  <c r="F75" i="6"/>
  <c r="K50" i="2"/>
  <c r="E50" i="2"/>
  <c r="F74" i="6"/>
  <c r="K49" i="2"/>
  <c r="E49" i="2"/>
  <c r="F73" i="6"/>
  <c r="K48" i="2"/>
  <c r="E48" i="2"/>
  <c r="F72" i="6"/>
  <c r="K47" i="2"/>
  <c r="E47" i="2"/>
  <c r="F71" i="6"/>
  <c r="K46" i="2"/>
  <c r="E46" i="2"/>
  <c r="F70" i="6"/>
  <c r="F69" i="6"/>
  <c r="K45" i="2"/>
  <c r="E45" i="2"/>
  <c r="K44" i="2"/>
  <c r="E44" i="2"/>
  <c r="F68" i="6"/>
  <c r="K43" i="2"/>
  <c r="E43" i="2"/>
  <c r="F67" i="6"/>
  <c r="K42" i="2"/>
  <c r="E42" i="2"/>
  <c r="F66" i="6"/>
  <c r="K41" i="2"/>
  <c r="E41" i="2"/>
  <c r="F65" i="6"/>
  <c r="K40" i="2"/>
  <c r="E40" i="2"/>
  <c r="F64" i="6"/>
  <c r="K39" i="2"/>
  <c r="E39" i="2"/>
  <c r="F63" i="6"/>
  <c r="K38" i="2"/>
  <c r="E38" i="2"/>
  <c r="F62" i="6"/>
  <c r="K37" i="2"/>
  <c r="E37" i="2"/>
  <c r="F61" i="6"/>
  <c r="K36" i="2"/>
  <c r="E36" i="2"/>
  <c r="F60" i="6"/>
  <c r="K35" i="2"/>
  <c r="E35" i="2"/>
  <c r="F59" i="6"/>
  <c r="K34" i="2"/>
  <c r="E34" i="2"/>
  <c r="F58" i="6"/>
  <c r="K33" i="2"/>
  <c r="E33" i="2"/>
  <c r="F57" i="6"/>
  <c r="K32" i="2"/>
  <c r="E32" i="2"/>
  <c r="F56" i="6"/>
  <c r="K31" i="2"/>
  <c r="E31" i="2"/>
  <c r="F55" i="6"/>
  <c r="K30" i="2"/>
  <c r="E30" i="2"/>
  <c r="F54" i="6"/>
  <c r="K29" i="2"/>
  <c r="E29" i="2"/>
  <c r="F53" i="6"/>
  <c r="K28" i="2"/>
  <c r="E28" i="2"/>
  <c r="F52" i="6"/>
  <c r="K27" i="2"/>
  <c r="E27" i="2"/>
  <c r="F51" i="6"/>
  <c r="K26" i="2"/>
  <c r="E26" i="2"/>
  <c r="F50" i="6"/>
  <c r="K25" i="2"/>
  <c r="E25" i="2"/>
  <c r="F49" i="6"/>
  <c r="K24" i="2"/>
  <c r="E24" i="2"/>
  <c r="K23" i="2"/>
  <c r="E23" i="2"/>
  <c r="F48" i="6"/>
  <c r="B28" i="11"/>
  <c r="G56" i="1"/>
  <c r="F47" i="6"/>
  <c r="K22" i="2"/>
  <c r="E22" i="2"/>
  <c r="F46" i="6"/>
  <c r="K21" i="2"/>
  <c r="E21" i="2"/>
  <c r="F45" i="6"/>
  <c r="F44" i="6"/>
  <c r="K20" i="2"/>
  <c r="E20" i="2"/>
  <c r="K19" i="2"/>
  <c r="E19" i="2"/>
  <c r="F43" i="6"/>
  <c r="F42" i="6"/>
  <c r="F41" i="6"/>
  <c r="F40" i="6"/>
  <c r="K18" i="2"/>
  <c r="E18" i="2"/>
  <c r="K17" i="2"/>
  <c r="E17" i="2"/>
  <c r="G41" i="10"/>
  <c r="K16" i="2"/>
  <c r="E16" i="2"/>
  <c r="K15" i="2"/>
  <c r="E15" i="2"/>
  <c r="F39" i="6"/>
  <c r="K14" i="2"/>
  <c r="E14" i="2"/>
  <c r="F38" i="6"/>
  <c r="F37" i="6"/>
  <c r="Q129" i="2"/>
  <c r="K13" i="2"/>
  <c r="E13" i="2"/>
  <c r="K12" i="2"/>
  <c r="E12" i="2"/>
  <c r="F36" i="6"/>
  <c r="K11" i="2"/>
  <c r="E11" i="2"/>
  <c r="F35" i="6"/>
  <c r="K10" i="2"/>
  <c r="E10" i="2"/>
  <c r="F34" i="6"/>
  <c r="K9" i="2"/>
  <c r="E9" i="2"/>
  <c r="F33" i="6"/>
  <c r="K8" i="2"/>
  <c r="E8" i="2"/>
  <c r="F32" i="6"/>
  <c r="K7" i="2"/>
  <c r="E7" i="2"/>
  <c r="F31" i="6"/>
  <c r="K6" i="2"/>
  <c r="E6" i="2"/>
  <c r="F30" i="6"/>
  <c r="K5" i="2"/>
  <c r="E5" i="2"/>
  <c r="F29" i="6"/>
  <c r="K4" i="2"/>
  <c r="E4" i="2"/>
  <c r="F28" i="6"/>
  <c r="F27" i="6"/>
  <c r="F26" i="6"/>
  <c r="F25" i="6"/>
  <c r="F24" i="6"/>
  <c r="F23" i="6"/>
  <c r="F22" i="6"/>
  <c r="F21" i="6"/>
  <c r="F20" i="6"/>
  <c r="F19" i="6"/>
  <c r="F18" i="6"/>
  <c r="F17" i="6"/>
  <c r="F16" i="6"/>
  <c r="F15" i="6"/>
  <c r="F14" i="6"/>
  <c r="F13" i="6"/>
  <c r="F12" i="6"/>
  <c r="F11" i="6"/>
  <c r="F10" i="6"/>
  <c r="F9" i="6"/>
  <c r="F8" i="6"/>
  <c r="F7" i="6"/>
  <c r="F6" i="6"/>
  <c r="F5" i="6"/>
  <c r="A148" i="3"/>
  <c r="K3" i="2"/>
  <c r="E3" i="2"/>
  <c r="A148" i="7"/>
  <c r="A125" i="8"/>
  <c r="A152" i="6"/>
  <c r="A148" i="5"/>
  <c r="A148" i="4"/>
  <c r="G128" i="2"/>
  <c r="A128" i="2"/>
  <c r="B18" i="11"/>
  <c r="B17" i="11"/>
  <c r="B16" i="11"/>
  <c r="B12" i="11"/>
  <c r="B11" i="11"/>
  <c r="I18" i="1"/>
  <c r="B51" i="11" s="1"/>
  <c r="I16" i="1"/>
  <c r="B49" i="11" s="1"/>
  <c r="I17" i="1"/>
  <c r="B50" i="11" s="1"/>
  <c r="H18" i="1"/>
  <c r="B47" i="11" s="1"/>
  <c r="H17" i="1"/>
  <c r="B46" i="11" s="1"/>
  <c r="G14" i="10"/>
  <c r="H14" i="10" s="1"/>
  <c r="B19" i="10"/>
  <c r="B18" i="10"/>
  <c r="I42" i="1"/>
  <c r="B24" i="11"/>
  <c r="F161" i="6"/>
  <c r="O135" i="2"/>
  <c r="O133" i="2"/>
  <c r="M133" i="2"/>
  <c r="E91" i="2"/>
  <c r="O139" i="2"/>
  <c r="M135" i="2"/>
  <c r="M138" i="2"/>
  <c r="B160" i="3" l="1"/>
  <c r="B149" i="3"/>
  <c r="B136" i="8"/>
  <c r="B126" i="8"/>
  <c r="K106" i="2"/>
  <c r="K134" i="2"/>
  <c r="B164" i="6"/>
  <c r="F164" i="6" s="1"/>
  <c r="B158" i="5"/>
  <c r="B157" i="4"/>
  <c r="B13" i="1"/>
  <c r="B134" i="2"/>
  <c r="K89" i="2"/>
  <c r="B160" i="6"/>
  <c r="F160" i="6" s="1"/>
  <c r="B21" i="11"/>
  <c r="B156" i="7"/>
  <c r="B160" i="7"/>
  <c r="B133" i="8"/>
  <c r="F158" i="6"/>
  <c r="B165" i="6"/>
  <c r="B159" i="5"/>
  <c r="B19" i="11"/>
  <c r="I19" i="1"/>
  <c r="M134" i="2"/>
  <c r="O134" i="2"/>
  <c r="B161" i="3"/>
  <c r="B156" i="3"/>
  <c r="G34" i="10"/>
  <c r="G37" i="10"/>
  <c r="G36" i="10"/>
  <c r="G38" i="10"/>
  <c r="G35" i="10"/>
  <c r="G39" i="10"/>
  <c r="G28" i="10"/>
  <c r="H15" i="10"/>
  <c r="I15" i="10" s="1"/>
  <c r="G13" i="10"/>
  <c r="I14" i="10"/>
  <c r="F89" i="1"/>
  <c r="F83" i="1"/>
  <c r="P91" i="1"/>
  <c r="H89" i="1" s="1"/>
  <c r="G89" i="1"/>
  <c r="G91" i="1" s="1"/>
  <c r="B136" i="2" l="1"/>
  <c r="B129" i="2"/>
  <c r="B6" i="11"/>
  <c r="B7" i="1"/>
  <c r="B26" i="11"/>
  <c r="F45" i="1"/>
  <c r="F46" i="1" s="1"/>
  <c r="F47" i="1" s="1"/>
  <c r="H140" i="2"/>
  <c r="H136" i="2"/>
  <c r="H141" i="2"/>
  <c r="K141" i="2"/>
  <c r="K136" i="2"/>
  <c r="K140" i="2"/>
  <c r="H42" i="1"/>
  <c r="F153" i="6"/>
  <c r="B23" i="11"/>
  <c r="B7" i="11"/>
  <c r="B8" i="1"/>
  <c r="B5" i="11"/>
  <c r="B6" i="1"/>
  <c r="B141" i="2"/>
  <c r="B140" i="2"/>
  <c r="E136" i="2"/>
  <c r="E140" i="2"/>
  <c r="E141" i="2"/>
  <c r="I13" i="10"/>
  <c r="H13" i="10"/>
  <c r="F162" i="6"/>
  <c r="F165" i="6"/>
  <c r="B12" i="1"/>
  <c r="B39" i="11"/>
  <c r="C13" i="1"/>
  <c r="H83" i="1"/>
  <c r="H91" i="1" s="1"/>
  <c r="F91" i="1"/>
  <c r="E129" i="2" l="1"/>
  <c r="P129" i="2" s="1"/>
  <c r="H16" i="1"/>
  <c r="B10" i="11"/>
  <c r="B13" i="11" s="1"/>
  <c r="B67" i="1"/>
  <c r="B41" i="11"/>
  <c r="I34" i="1"/>
  <c r="D34" i="1"/>
  <c r="C34" i="1"/>
  <c r="H34" i="1"/>
  <c r="B43" i="11"/>
  <c r="C12" i="1"/>
  <c r="D12" i="1" s="1"/>
  <c r="C16" i="1"/>
  <c r="C56" i="1"/>
  <c r="C17" i="1"/>
  <c r="C18" i="1"/>
  <c r="C42" i="1"/>
  <c r="B11" i="1"/>
  <c r="D13" i="1"/>
  <c r="B45" i="11" l="1"/>
  <c r="H19" i="1"/>
  <c r="B76" i="1"/>
  <c r="B80" i="1" s="1"/>
  <c r="B77" i="1"/>
  <c r="C23" i="1"/>
  <c r="C24" i="1"/>
  <c r="C22" i="1"/>
  <c r="C19" i="1"/>
  <c r="C11" i="1"/>
  <c r="D42" i="1"/>
  <c r="B42" i="1" s="1"/>
  <c r="D11" i="1"/>
  <c r="D16" i="1"/>
  <c r="B16" i="1" s="1"/>
  <c r="D18" i="1"/>
  <c r="D24" i="1" s="1"/>
  <c r="D17" i="1"/>
  <c r="D23" i="1" s="1"/>
  <c r="D56" i="1"/>
  <c r="B56" i="1" s="1"/>
  <c r="B56" i="11" s="1"/>
  <c r="B82" i="1" l="1"/>
  <c r="B83" i="1" s="1"/>
  <c r="B88" i="1"/>
  <c r="B85" i="1"/>
  <c r="B89" i="1" s="1"/>
  <c r="B53" i="11"/>
  <c r="B45" i="1"/>
  <c r="B50" i="1" s="1"/>
  <c r="B18" i="1"/>
  <c r="B24" i="1"/>
  <c r="D19" i="1"/>
  <c r="D22" i="1"/>
  <c r="D25" i="1" s="1"/>
  <c r="C25" i="1"/>
  <c r="C30" i="1" s="1"/>
  <c r="B23" i="1"/>
  <c r="B17" i="1"/>
  <c r="K89" i="1" l="1"/>
  <c r="L89" i="1"/>
  <c r="J89" i="1"/>
  <c r="K83" i="1"/>
  <c r="J83" i="1"/>
  <c r="L83" i="1"/>
  <c r="B19" i="1"/>
  <c r="B22" i="1"/>
  <c r="B25" i="1" s="1"/>
  <c r="H33" i="1"/>
  <c r="H35" i="1" s="1"/>
  <c r="C33" i="1"/>
  <c r="C35" i="1" s="1"/>
  <c r="B46" i="1"/>
  <c r="B51" i="1" s="1"/>
  <c r="B52" i="1" s="1"/>
  <c r="L91" i="1" l="1"/>
  <c r="G59" i="1" s="1"/>
  <c r="J91" i="1"/>
  <c r="H59" i="1" s="1"/>
  <c r="K91" i="1"/>
  <c r="F59" i="1" s="1"/>
  <c r="D28" i="1"/>
  <c r="B54" i="11"/>
  <c r="H18" i="10"/>
  <c r="C9" i="10"/>
  <c r="B36" i="11" s="1"/>
  <c r="H19" i="10"/>
  <c r="C10" i="10"/>
  <c r="B57" i="11" l="1"/>
  <c r="B30" i="11"/>
  <c r="B59" i="1"/>
  <c r="H20" i="10"/>
  <c r="B20" i="10"/>
  <c r="B58" i="11" l="1"/>
  <c r="D29" i="1"/>
  <c r="D30" i="1" s="1"/>
  <c r="G45" i="10"/>
  <c r="I33" i="1" l="1"/>
  <c r="I35" i="1" s="1"/>
  <c r="D33" i="1"/>
  <c r="D35" i="1" s="1"/>
  <c r="B30" i="1"/>
  <c r="B62" i="11" s="1"/>
  <c r="I18" i="10" l="1"/>
  <c r="B9" i="10"/>
  <c r="B35" i="11" s="1"/>
  <c r="D9" i="10"/>
  <c r="B37" i="11" s="1"/>
  <c r="G9" i="10"/>
  <c r="B10" i="10"/>
  <c r="I19" i="10"/>
  <c r="G19" i="10" s="1"/>
  <c r="G10" i="10"/>
  <c r="D10" i="10"/>
  <c r="I20" i="10" l="1"/>
  <c r="G18" i="10"/>
  <c r="G20" i="10" s="1"/>
  <c r="G27" i="10" s="1"/>
  <c r="G40" i="10" s="1"/>
  <c r="G4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Satre, Michele</author>
  </authors>
  <commentList>
    <comment ref="H87" authorId="0" shapeId="0" xr:uid="{ACE0283B-6ECC-4554-B512-04236AABC1C1}">
      <text>
        <r>
          <rPr>
            <b/>
            <sz val="9"/>
            <color indexed="81"/>
            <rFont val="Tahoma"/>
            <family val="2"/>
          </rPr>
          <t>Satre, Michele:</t>
        </r>
        <r>
          <rPr>
            <sz val="9"/>
            <color indexed="81"/>
            <rFont val="Tahoma"/>
            <family val="2"/>
          </rPr>
          <t xml:space="preserve">
Actual Class I Skim on Pooling Summary was 86.62%.  Needed to add 0.01%, which made it 86.63%, to get the Total of all Skim Classes to equal 100.00%</t>
        </r>
      </text>
    </comment>
    <comment ref="B89" authorId="0" shapeId="0" xr:uid="{7321AE35-EB45-496C-9FB5-B5082C7340A9}">
      <text>
        <r>
          <rPr>
            <b/>
            <sz val="9"/>
            <color indexed="81"/>
            <rFont val="Tahoma"/>
            <family val="2"/>
          </rPr>
          <t>Satre, Michele:</t>
        </r>
        <r>
          <rPr>
            <sz val="9"/>
            <color indexed="81"/>
            <rFont val="Tahoma"/>
            <family val="2"/>
          </rPr>
          <t xml:space="preserve">
Subtracted .01% to get the total to equal 100%</t>
        </r>
      </text>
    </comment>
    <comment ref="H89" authorId="0" shapeId="0" xr:uid="{C7B55D1A-CEBB-4F70-883E-C652181C2B24}">
      <text>
        <r>
          <rPr>
            <b/>
            <sz val="9"/>
            <color indexed="81"/>
            <rFont val="Tahoma"/>
            <family val="2"/>
          </rPr>
          <t>Satre, Michele:</t>
        </r>
        <r>
          <rPr>
            <sz val="9"/>
            <color indexed="81"/>
            <rFont val="Tahoma"/>
            <family val="2"/>
          </rPr>
          <t xml:space="preserve">
Added .01% to get total to equal 100%</t>
        </r>
      </text>
    </comment>
    <comment ref="B91" authorId="0" shapeId="0" xr:uid="{E6B9EED9-4355-47A2-BFEE-C9CE3D641B0E}">
      <text>
        <r>
          <rPr>
            <b/>
            <sz val="9"/>
            <color indexed="81"/>
            <rFont val="Tahoma"/>
            <family val="2"/>
          </rPr>
          <t>Satre, Michele:</t>
        </r>
        <r>
          <rPr>
            <sz val="9"/>
            <color indexed="81"/>
            <rFont val="Tahoma"/>
            <family val="2"/>
          </rPr>
          <t xml:space="preserve">
Subtracted 0.01 percent so the Total will equal 100%</t>
        </r>
      </text>
    </comment>
    <comment ref="H92" authorId="0" shapeId="0" xr:uid="{A0949AFD-DD8E-46F5-A085-6ACFDBD38394}">
      <text>
        <r>
          <rPr>
            <b/>
            <sz val="9"/>
            <color indexed="81"/>
            <rFont val="Tahoma"/>
            <family val="2"/>
          </rPr>
          <t>Satre, Michele:</t>
        </r>
        <r>
          <rPr>
            <sz val="9"/>
            <color indexed="81"/>
            <rFont val="Tahoma"/>
            <family val="2"/>
          </rPr>
          <t xml:space="preserve">
Added .01% to get total to equal 100%</t>
        </r>
      </text>
    </comment>
    <comment ref="B103" authorId="0" shapeId="0" xr:uid="{8CE7A441-E8E6-4AFB-9BAD-BF4770961FDF}">
      <text>
        <r>
          <rPr>
            <b/>
            <sz val="9"/>
            <color indexed="81"/>
            <rFont val="Tahoma"/>
            <family val="2"/>
          </rPr>
          <t>Satre, Michele:</t>
        </r>
        <r>
          <rPr>
            <sz val="9"/>
            <color indexed="81"/>
            <rFont val="Tahoma"/>
            <family val="2"/>
          </rPr>
          <t xml:space="preserve">
Subtracted .01% to get the amounts to total 100%</t>
        </r>
      </text>
    </comment>
    <comment ref="B105" authorId="0" shapeId="0" xr:uid="{1E743374-316E-4E61-B85E-87E57556F06F}">
      <text>
        <r>
          <rPr>
            <b/>
            <sz val="9"/>
            <color indexed="81"/>
            <rFont val="Tahoma"/>
            <family val="2"/>
          </rPr>
          <t>Satre, Michele:</t>
        </r>
        <r>
          <rPr>
            <sz val="9"/>
            <color indexed="81"/>
            <rFont val="Tahoma"/>
            <family val="2"/>
          </rPr>
          <t xml:space="preserve">
Subtracted .01% to get the amounts to total 100%</t>
        </r>
      </text>
    </comment>
    <comment ref="H106" authorId="0" shapeId="0" xr:uid="{8DB5A7CD-AD0C-4D2B-A021-6D36B13FE159}">
      <text>
        <r>
          <rPr>
            <b/>
            <sz val="9"/>
            <color indexed="81"/>
            <rFont val="Tahoma"/>
            <family val="2"/>
          </rPr>
          <t>Satre, Michele:</t>
        </r>
        <r>
          <rPr>
            <sz val="9"/>
            <color indexed="81"/>
            <rFont val="Tahoma"/>
            <family val="2"/>
          </rPr>
          <t xml:space="preserve">
Added .01% to get total to equal 100%</t>
        </r>
      </text>
    </comment>
    <comment ref="H110" authorId="0" shapeId="0" xr:uid="{8077E8F9-C924-46E7-BEC7-F82F649ACFAC}">
      <text>
        <r>
          <rPr>
            <b/>
            <sz val="9"/>
            <color indexed="81"/>
            <rFont val="Tahoma"/>
            <family val="2"/>
          </rPr>
          <t>Satre, Michele:</t>
        </r>
        <r>
          <rPr>
            <sz val="9"/>
            <color indexed="81"/>
            <rFont val="Tahoma"/>
            <family val="2"/>
          </rPr>
          <t xml:space="preserve">
Added .01% to get total to equal 100%</t>
        </r>
      </text>
    </comment>
    <comment ref="B113" authorId="0" shapeId="0" xr:uid="{3D0A1DBE-5765-4C6A-BD21-454B509DB861}">
      <text>
        <r>
          <rPr>
            <b/>
            <sz val="9"/>
            <color indexed="81"/>
            <rFont val="Tahoma"/>
            <family val="2"/>
          </rPr>
          <t>Satre, Michele:</t>
        </r>
        <r>
          <rPr>
            <sz val="9"/>
            <color indexed="81"/>
            <rFont val="Tahoma"/>
            <family val="2"/>
          </rPr>
          <t xml:space="preserve">
Add .01% to get the amounts to total 100%</t>
        </r>
      </text>
    </comment>
    <comment ref="B115" authorId="0" shapeId="0" xr:uid="{8F5C1408-E3E0-4EDA-AC45-9A5DC35A7D0B}">
      <text>
        <r>
          <rPr>
            <b/>
            <sz val="9"/>
            <color indexed="81"/>
            <rFont val="Tahoma"/>
            <family val="2"/>
          </rPr>
          <t>Satre, Michele:</t>
        </r>
        <r>
          <rPr>
            <sz val="9"/>
            <color indexed="81"/>
            <rFont val="Tahoma"/>
            <family val="2"/>
          </rPr>
          <t xml:space="preserve">
Add .01% to get the amounts to total 100%</t>
        </r>
      </text>
    </comment>
    <comment ref="H116" authorId="0" shapeId="0" xr:uid="{7CA9C0DC-E879-46B2-9C15-574C01FE5D29}">
      <text>
        <r>
          <rPr>
            <b/>
            <sz val="9"/>
            <color indexed="81"/>
            <rFont val="Tahoma"/>
            <family val="2"/>
          </rPr>
          <t>Satre, Michele:</t>
        </r>
        <r>
          <rPr>
            <sz val="9"/>
            <color indexed="81"/>
            <rFont val="Tahoma"/>
            <family val="2"/>
          </rPr>
          <t xml:space="preserve">
Added .01% to get total to equal 100%</t>
        </r>
      </text>
    </comment>
    <comment ref="B120" authorId="0" shapeId="0" xr:uid="{EE92094F-2890-4DEE-A0E6-912CE535BDE1}">
      <text>
        <r>
          <rPr>
            <b/>
            <sz val="9"/>
            <color indexed="81"/>
            <rFont val="Tahoma"/>
            <family val="2"/>
          </rPr>
          <t>Satre, Michele:</t>
        </r>
        <r>
          <rPr>
            <sz val="9"/>
            <color indexed="81"/>
            <rFont val="Tahoma"/>
            <family val="2"/>
          </rPr>
          <t xml:space="preserve">
Subtracted .01% to get the amounts to total 100%</t>
        </r>
      </text>
    </comment>
    <comment ref="H121" authorId="0" shapeId="0" xr:uid="{F2D1812B-2C3E-40E5-8ABF-7C7750349D21}">
      <text>
        <r>
          <rPr>
            <b/>
            <sz val="9"/>
            <color indexed="81"/>
            <rFont val="Tahoma"/>
            <family val="2"/>
          </rPr>
          <t>Satre, Michele:</t>
        </r>
        <r>
          <rPr>
            <sz val="9"/>
            <color indexed="81"/>
            <rFont val="Tahoma"/>
            <family val="2"/>
          </rPr>
          <t xml:space="preserve">
Subtracted .01% to get total to equal 100%</t>
        </r>
      </text>
    </comment>
  </commentList>
</comments>
</file>

<file path=xl/sharedStrings.xml><?xml version="1.0" encoding="utf-8"?>
<sst xmlns="http://schemas.openxmlformats.org/spreadsheetml/2006/main" count="349" uniqueCount="217">
  <si>
    <t>Month</t>
  </si>
  <si>
    <t>Days Per Month</t>
  </si>
  <si>
    <t>Butterfat ($/lb)</t>
  </si>
  <si>
    <t>Skim ($/lb)</t>
  </si>
  <si>
    <t>Quota Price</t>
  </si>
  <si>
    <t>Excess Price</t>
  </si>
  <si>
    <t>Your Dairy's Estimated Quota / Excess Prices</t>
  </si>
  <si>
    <t>Quota Production</t>
  </si>
  <si>
    <t>Excess Production</t>
  </si>
  <si>
    <t>Total Production</t>
  </si>
  <si>
    <t>Milk (lbs)</t>
  </si>
  <si>
    <t>Butterfat (lbs)</t>
  </si>
  <si>
    <t>Skim (lbs)</t>
  </si>
  <si>
    <t>YOUR DAIRY:</t>
  </si>
  <si>
    <t>POOL:  ESTIMATED QUOTA / EXCESS PRICES</t>
  </si>
  <si>
    <t>Pool Butterfat Percentage</t>
  </si>
  <si>
    <t>Production</t>
  </si>
  <si>
    <t>Quota Production (lbs)</t>
  </si>
  <si>
    <t>Excess Production (lbs)</t>
  </si>
  <si>
    <t>Total Production (lbs)</t>
  </si>
  <si>
    <t>Utilization</t>
  </si>
  <si>
    <t>Class I</t>
  </si>
  <si>
    <t>Class II</t>
  </si>
  <si>
    <t>Class III</t>
  </si>
  <si>
    <t>Butterfat (% of Production)</t>
  </si>
  <si>
    <t>Skim (% of Production)</t>
  </si>
  <si>
    <t>% Pool Butterfat Utilized</t>
  </si>
  <si>
    <t>% Pool Skim Utilized</t>
  </si>
  <si>
    <t>% Pool Milk Utilized</t>
  </si>
  <si>
    <t>Butterfat ($)</t>
  </si>
  <si>
    <t>Skim ($)</t>
  </si>
  <si>
    <t>Milk ($)</t>
  </si>
  <si>
    <t>Announced Prices</t>
  </si>
  <si>
    <t>Milk Price @ 3.5% BF ($/cwt)</t>
  </si>
  <si>
    <t>Utilization Value</t>
  </si>
  <si>
    <t>Estimated Pool Value</t>
  </si>
  <si>
    <t>Daily Quota (lbs/day)</t>
  </si>
  <si>
    <t>Estimated Daily Production (lbs/day)</t>
  </si>
  <si>
    <t>Poolwide Value ($/lb)</t>
  </si>
  <si>
    <t>Butterfat ($lb)</t>
  </si>
  <si>
    <t>Quota Price Calculation:</t>
  </si>
  <si>
    <t>Excess Price Calculation:</t>
  </si>
  <si>
    <t>Utilization Percentage</t>
  </si>
  <si>
    <t>Overall Price</t>
  </si>
  <si>
    <t>must add to 100%</t>
  </si>
  <si>
    <t>Estimated Quota Prices ($/lb)</t>
  </si>
  <si>
    <t>Estimated Excess Prices ($/lb)</t>
  </si>
  <si>
    <t>Milk Blend Price @ 3.5% Butterfat ($/cwt)</t>
  </si>
  <si>
    <t>Estimated Dairy Butterfat Content (%)</t>
  </si>
  <si>
    <t>Milk Blend Price @ Estimated Dairy Butterfat % ($/cwt)</t>
  </si>
  <si>
    <t>Pool Production Per Day (lbs/day)</t>
  </si>
  <si>
    <t>Pool Production that is Over Quota (%)</t>
  </si>
  <si>
    <t>Quota Differential Adjustment ($/lb)</t>
  </si>
  <si>
    <t>Excess Differential Adjustment ($/lb)</t>
  </si>
  <si>
    <t>Total</t>
  </si>
  <si>
    <t>Pool Shipper</t>
  </si>
  <si>
    <t>Bulk / Package</t>
  </si>
  <si>
    <t>Package</t>
  </si>
  <si>
    <t>Pool Milk Blend Price @ Estimated Poolwide Butterfat % ($/cwt)</t>
  </si>
  <si>
    <t>MONTANA DAIRY REVENUE ESTIMATOR</t>
  </si>
  <si>
    <t>Estimate</t>
  </si>
  <si>
    <t>Estimated Percentage of Skim Utilization - By Class</t>
  </si>
  <si>
    <t>Estimated Percentage of Butterfat Utilization - By Class</t>
  </si>
  <si>
    <t>Historic Percentage of Butterfat Utilization - By Class</t>
  </si>
  <si>
    <t>Historic Percentage of Skim Utilization - By Class</t>
  </si>
  <si>
    <t>Estimated Pool Butterfat Percentage</t>
  </si>
  <si>
    <t>Historic Pool Butterfat Percentage</t>
  </si>
  <si>
    <t>Estimated Average Daily Production (lbs)</t>
  </si>
  <si>
    <t>Historic Average Daily Production (lbs)</t>
  </si>
  <si>
    <t>Estimated Excess Milk Percentage of Total Production</t>
  </si>
  <si>
    <t>Historic Excess Milk Percentage of Total Production</t>
  </si>
  <si>
    <t>Estimate ($/cwt)</t>
  </si>
  <si>
    <t>Low ($/cwt)</t>
  </si>
  <si>
    <t>High ($/cwt)</t>
  </si>
  <si>
    <t>ASSUMPTIONS SUMMARY</t>
  </si>
  <si>
    <t>Estimated Percentage of Butterfat Utilization:</t>
  </si>
  <si>
    <t>Estimated Percentage of Skim Utilization:</t>
  </si>
  <si>
    <t>Pool Butterfat Percentage (%)</t>
  </si>
  <si>
    <r>
      <rPr>
        <b/>
        <u/>
        <sz val="14"/>
        <color theme="1"/>
        <rFont val="Calibri"/>
        <family val="2"/>
        <scheme val="minor"/>
      </rPr>
      <t>Disclaimer:</t>
    </r>
    <r>
      <rPr>
        <sz val="11"/>
        <color theme="1"/>
        <rFont val="Calibri"/>
        <family val="2"/>
        <scheme val="minor"/>
      </rPr>
      <t xml:space="preserve">
The Montana Department of Livestock and its staff are not responsible for:
• the outcome of decisions made by parties as a result of using of this spreadsheet, 
• reliability of estimates and assumptions made in the spreadsheet
• errors within the spreadsheet, 
• the reasonableness of estimates/assumptions made by spreadsheet users, or 
• the outcome of decisions made by parties who use the spreadsheet as a decision tool after making alterations to the spreadsheet.  
This spreadsheet was created to serve as a tool for dairy farmers to consider estimated quota and excess (over quota) prices and estimate monthly dairy revenue.  Ultimately spreadsheet users are responsible for their own decisions and any errors that may exist in the spreadsheet.  Spreadsheet users should be very cautious when using this spreadsheet to avoid changing formulas.  If users change formulas, they should do so with extreme caution.  
</t>
    </r>
  </si>
  <si>
    <t>All</t>
  </si>
  <si>
    <t>YES</t>
  </si>
  <si>
    <t>NO</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</si>
  <si>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</si>
  <si>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t>Ave</t>
  </si>
  <si>
    <t>Skim % to BF% Ratio</t>
  </si>
  <si>
    <t>Ave All</t>
  </si>
  <si>
    <t>ESTIMATED GROSS REVENUE</t>
  </si>
  <si>
    <t>Hauling Rate ($/cwt)</t>
  </si>
  <si>
    <t>Hauling Stop Charges ($/month)</t>
  </si>
  <si>
    <t>Other Hauling Charges ($/month)</t>
  </si>
  <si>
    <t>Milk Control Assessment ($/cwt)</t>
  </si>
  <si>
    <t>Milk Inspection Assessment - Monthly Minimum ($/month)</t>
  </si>
  <si>
    <t>Milk Inspection Assessment ($/cwt)</t>
  </si>
  <si>
    <t>Federal Milk Check-off</t>
  </si>
  <si>
    <t>Federal Milk Check-off ($/cwt)</t>
  </si>
  <si>
    <t>Co-op / Marketing Organization Dues &amp; Fees ($/cwt)</t>
  </si>
  <si>
    <t>Other Co-op / Marketing Organization Fees ($/month)</t>
  </si>
  <si>
    <t>Other Deductions ($/month)</t>
  </si>
  <si>
    <t>Estimated Gross Revenue</t>
  </si>
  <si>
    <t>Premiums ($/cwt)</t>
  </si>
  <si>
    <t>Premiums</t>
  </si>
  <si>
    <t>Hauling Charges</t>
  </si>
  <si>
    <t>Milk Control Assessment</t>
  </si>
  <si>
    <t>Milk Inspection Assessment</t>
  </si>
  <si>
    <t>Co-op / Marketing Organization</t>
  </si>
  <si>
    <t>Other Deductions</t>
  </si>
  <si>
    <t>Estimated Payment Before Advance</t>
  </si>
  <si>
    <t>Estimated Advanced Payment</t>
  </si>
  <si>
    <t>Estimated Final Payment</t>
  </si>
  <si>
    <t>Estimated Advanced Payment ($/month)</t>
  </si>
  <si>
    <t>Est. Payment Before Advance ($/cwt)</t>
  </si>
  <si>
    <t>ESTIMATED PAYMENT</t>
  </si>
  <si>
    <t>Premiums ($/month)</t>
  </si>
  <si>
    <t>Other Deductions ($/cwt)</t>
  </si>
  <si>
    <t>Low ($)</t>
  </si>
  <si>
    <t>High ($)</t>
  </si>
  <si>
    <t>Contiguous States</t>
  </si>
  <si>
    <t>Non-contiguous States</t>
  </si>
  <si>
    <t>Estimated Bulk Surplus Milk Sales</t>
  </si>
  <si>
    <t>Utilization Value Subtotal</t>
  </si>
  <si>
    <t>% of Class I Packaged Surplus Milk Sales</t>
  </si>
  <si>
    <t>Plus:  Surplus Sales Adjustment for Class I Packaged Surplus Milk Sales</t>
  </si>
  <si>
    <t>Surplus Sales Adjustment Rate for Class I Packaged Surplus Milk Sales ($/cwt)</t>
  </si>
  <si>
    <t>SURPLUS SALES ADJUSTMENTS</t>
  </si>
  <si>
    <r>
      <rPr>
        <sz val="12"/>
        <color theme="1"/>
        <rFont val="Calibri"/>
        <family val="2"/>
        <scheme val="minor"/>
      </rPr>
      <t>Less:  Intrapool Shipments Charges ($)</t>
    </r>
    <r>
      <rPr>
        <b/>
        <sz val="12"/>
        <color theme="1"/>
        <rFont val="Calibri"/>
        <family val="2"/>
        <scheme val="minor"/>
      </rPr>
      <t xml:space="preserve"> </t>
    </r>
    <r>
      <rPr>
        <b/>
        <i/>
        <sz val="12"/>
        <color rgb="FFFF0000"/>
        <rFont val="Calibri"/>
        <family val="2"/>
        <scheme val="minor"/>
      </rPr>
      <t>enter as a negative number</t>
    </r>
  </si>
  <si>
    <r>
      <rPr>
        <b/>
        <sz val="12"/>
        <color theme="1"/>
        <rFont val="Calibri"/>
        <family val="2"/>
        <scheme val="minor"/>
      </rPr>
      <t>Estimated Class I Packaged Surplus Milk Sales</t>
    </r>
    <r>
      <rPr>
        <sz val="12"/>
        <color theme="1"/>
        <rFont val="Calibri"/>
        <family val="2"/>
        <scheme val="minor"/>
      </rPr>
      <t xml:space="preserve"> </t>
    </r>
    <r>
      <rPr>
        <i/>
        <sz val="12"/>
        <color theme="1"/>
        <rFont val="Calibri"/>
        <family val="2"/>
        <scheme val="minor"/>
      </rPr>
      <t>(Net Export)</t>
    </r>
  </si>
  <si>
    <r>
      <t xml:space="preserve">Breakdown of Class I Packaged Surplus Milk Sales </t>
    </r>
    <r>
      <rPr>
        <i/>
        <sz val="12"/>
        <color theme="1"/>
        <rFont val="Calibri"/>
        <family val="2"/>
        <scheme val="minor"/>
      </rPr>
      <t>(Net Export)</t>
    </r>
  </si>
  <si>
    <r>
      <t xml:space="preserve">Surplus Sales Adjustment for Class I Packaged Surplus Milk Sales </t>
    </r>
    <r>
      <rPr>
        <i/>
        <sz val="12"/>
        <color theme="1"/>
        <rFont val="Calibri"/>
        <family val="2"/>
        <scheme val="minor"/>
      </rPr>
      <t>(Net Export)</t>
    </r>
  </si>
  <si>
    <r>
      <t xml:space="preserve">Total Surplus Sales Adjustment for Class I Packaged Surplus Milk Sales </t>
    </r>
    <r>
      <rPr>
        <b/>
        <i/>
        <sz val="12"/>
        <color theme="1"/>
        <rFont val="Calibri"/>
        <family val="2"/>
        <scheme val="minor"/>
      </rPr>
      <t>(Net Export)</t>
    </r>
  </si>
  <si>
    <t xml:space="preserve">Class I Packaged Surplus Milk Sales:  </t>
  </si>
  <si>
    <t xml:space="preserve">Bulk Surplus Milk Sales:  </t>
  </si>
  <si>
    <r>
      <rPr>
        <b/>
        <sz val="12"/>
        <color theme="1"/>
        <rFont val="Calibri"/>
        <family val="2"/>
        <scheme val="minor"/>
      </rPr>
      <t>Surplus Sales Adjustment for</t>
    </r>
    <r>
      <rPr>
        <sz val="12"/>
        <color theme="1"/>
        <rFont val="Calibri"/>
        <family val="2"/>
        <scheme val="minor"/>
      </rPr>
      <t xml:space="preserve"> </t>
    </r>
    <r>
      <rPr>
        <b/>
        <sz val="12"/>
        <color theme="1"/>
        <rFont val="Calibri"/>
        <family val="2"/>
        <scheme val="minor"/>
      </rPr>
      <t>Bulk Surplus Sales:</t>
    </r>
    <r>
      <rPr>
        <sz val="12"/>
        <color theme="1"/>
        <rFont val="Calibri"/>
        <family val="2"/>
        <scheme val="minor"/>
      </rPr>
      <t xml:space="preserve">  Margin on Bulk Milk (Value Received -  Montana Base Utilization Value - Out-of-State Hauling)</t>
    </r>
  </si>
  <si>
    <t>Plus:  Surplus Sales Adjustment - Bulk Sales</t>
  </si>
  <si>
    <t>Estimated Percentage of Pool Butterfat Used in Class I Packaged Surplus Milk Sales</t>
  </si>
  <si>
    <t>Estimated Percentage of Pool Skim Used in Class I Packaged Surplus Milk Sales</t>
  </si>
  <si>
    <t>Historic Percentage of Class I Packaged Surplus Milk Sales to Markets in Contiguous States</t>
  </si>
  <si>
    <t>Estimated Percentage of Class I Packaged Surplus Milk Sales to Markets in Contiguous States</t>
  </si>
  <si>
    <t>Historic Percentage of Pool Butterfat Used in Class I Packaged Surplus Milk Sales</t>
  </si>
  <si>
    <t>Historic Percentage of Pool Skim Used in Class I Packaged Surplus Milk Sales</t>
  </si>
  <si>
    <t>Estimated Percentage of Pool Milk used in Bulk Surplus Milk Sales</t>
  </si>
  <si>
    <t>Historic Percentage of Pool Milk used in Bulk Surplus Milk Sales</t>
  </si>
  <si>
    <t>Intrapool Shipments Charges ($)</t>
  </si>
  <si>
    <t>Margin on Bulk Milk (Value Received -  Montana Base Utilization Value - Out-of-State Hauling)</t>
  </si>
  <si>
    <t>Butterfat Content</t>
  </si>
  <si>
    <t>USDA Adv Cls IV Skim Milk Price ($/lb)</t>
  </si>
  <si>
    <t>USDA Adv Butterfat Price ($/lb)</t>
  </si>
  <si>
    <t>USDA Adv Cls III Skim Milk Price ($/lb)</t>
  </si>
  <si>
    <t>MT Adv Cls III Skim Milk Price ($/lb)</t>
  </si>
  <si>
    <t>MT Adv Cls III Butterfat Price ($/lb)</t>
  </si>
  <si>
    <t>Est. USDA Class IV Value ($/cwt at projected BF%)</t>
  </si>
  <si>
    <t>MT Adv Cls III Value ($/cwt at projected BF%)</t>
  </si>
  <si>
    <t>NDA Val Received</t>
  </si>
  <si>
    <t>NDA Margin</t>
  </si>
  <si>
    <r>
      <t xml:space="preserve">NDA Freight </t>
    </r>
    <r>
      <rPr>
        <i/>
        <sz val="11"/>
        <color rgb="FFFF0000"/>
        <rFont val="Calibri"/>
        <family val="2"/>
        <scheme val="minor"/>
      </rPr>
      <t>(enter as negative)</t>
    </r>
  </si>
  <si>
    <r>
      <t xml:space="preserve">GTF Freight </t>
    </r>
    <r>
      <rPr>
        <i/>
        <sz val="11"/>
        <color rgb="FFFF0000"/>
        <rFont val="Calibri"/>
        <family val="2"/>
        <scheme val="minor"/>
      </rPr>
      <t>(enter as negative)</t>
    </r>
  </si>
  <si>
    <t>GTF Margin</t>
  </si>
  <si>
    <t>% of Bulk Surplus - Low Vol Surplus</t>
  </si>
  <si>
    <t>% of Bulk Surplus - Est Vol Surplus</t>
  </si>
  <si>
    <t>% of Bulk Surplus - High Vol Surplus</t>
  </si>
  <si>
    <t>Contrib to Net Bulk Surp Adj - Low Vol Surplus</t>
  </si>
  <si>
    <t>Contrib to Net Bulk Surp Adj - Est Vol Surplus</t>
  </si>
  <si>
    <t>Contrib to Net Bulk Surp Adj - High Vol Surplus</t>
  </si>
  <si>
    <t>Est. Vol (lbs)</t>
  </si>
  <si>
    <t>Low Vol (lbs)</t>
  </si>
  <si>
    <t>High Vol (lbs)</t>
  </si>
  <si>
    <t>BF</t>
  </si>
  <si>
    <t>Skim</t>
  </si>
  <si>
    <t>Quota Price @ 3.5% BF ($/cwt)</t>
  </si>
  <si>
    <t>Quota Butterfat Price ($/lb)</t>
  </si>
  <si>
    <t>Quota Skim Milk Price ($/lb)</t>
  </si>
  <si>
    <t>Butterfat Content - All (%)</t>
  </si>
  <si>
    <t>Excess Production (%)</t>
  </si>
  <si>
    <t>Butterfat Utilization - Class I (%)</t>
  </si>
  <si>
    <t>Butterfat Utilization - Class II (%)</t>
  </si>
  <si>
    <t>Butterfat Utilization - Class III (%)</t>
  </si>
  <si>
    <t>Skim Milk Utilization - Class I (%)</t>
  </si>
  <si>
    <t>Skim Milk Utilization - Class II (%)</t>
  </si>
  <si>
    <t>Skim Milk Utilization - Class III (%)</t>
  </si>
  <si>
    <t>Class I Pckg Milk Surplus Sales Volume (cwt)</t>
  </si>
  <si>
    <t>Class I Pckg Milk Surplus Sales Adjustment ($)</t>
  </si>
  <si>
    <t>Bulk Milk Surplus Sales Volume (cwt)</t>
  </si>
  <si>
    <t>Bulk Milk Surplus Sales Adjustment ($/cwt)</t>
  </si>
  <si>
    <t>Bulk Milk Surplus Sales Adjustment ($)</t>
  </si>
  <si>
    <t>Intrapool Bulk Milk Freight Adjustment ($)</t>
  </si>
  <si>
    <t>Utilization Value After Surplus Sale Adjustments and Intrapool Shipment Charges ($)</t>
  </si>
  <si>
    <t>Bureau Estimate</t>
  </si>
  <si>
    <r>
      <rPr>
        <sz val="11"/>
        <color rgb="FFFF0000"/>
        <rFont val="Calibri"/>
        <family val="2"/>
        <scheme val="minor"/>
      </rPr>
      <t>Less:</t>
    </r>
    <r>
      <rPr>
        <sz val="11"/>
        <color theme="1"/>
        <rFont val="Calibri"/>
        <family val="2"/>
        <scheme val="minor"/>
      </rPr>
      <t xml:space="preserve">  Montana Class III Value</t>
    </r>
  </si>
  <si>
    <t>GTF Val Received (set to Class III value)</t>
  </si>
  <si>
    <r>
      <t xml:space="preserve">GTF Discount from Cls III </t>
    </r>
    <r>
      <rPr>
        <i/>
        <sz val="11"/>
        <color rgb="FFFF0000"/>
        <rFont val="Calibri"/>
        <family val="2"/>
        <scheme val="minor"/>
      </rPr>
      <t>(enter as negative)</t>
    </r>
  </si>
  <si>
    <t>percentages used in B and C 112 are found on Statistics xls OOS Packaged Pool Percent Pivot</t>
  </si>
  <si>
    <t>found on Production Charts in Statistics data B39</t>
  </si>
  <si>
    <t xml:space="preserve"> </t>
  </si>
  <si>
    <t>percentage for B is found in Statistics data Production Charts tab B63</t>
  </si>
  <si>
    <t>percent for B found in Statistics on Excess Milk Percent Pivot</t>
  </si>
  <si>
    <t>percent for B and C found in Statistics on OOS Packaged Pool Percent Pivot V &amp; W</t>
  </si>
  <si>
    <t>B is entered from Statistics  OOS Pckg Fed Class I Pivot</t>
  </si>
  <si>
    <t>Statistics data OOS Bulk Pool Percent Pivot L</t>
  </si>
  <si>
    <t>The Data is from Pooling Summary Report - Utilization of Production</t>
  </si>
  <si>
    <t>Federal Price</t>
  </si>
  <si>
    <t xml:space="preserve">Instead of the averages in cells </t>
  </si>
  <si>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</si>
  <si>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Note:  Novober 2015 - March 2017 are recalculated figures that reflect percentages that would have existed if rules in effect on Aug. 1, 2017  were in effect in the past</t>
  </si>
  <si>
    <t>The plants are reporting a shortage of bulk milk since summer. 6/12/2025 ms</t>
  </si>
  <si>
    <t>There has been not bulk surplus milk since February 2023</t>
  </si>
  <si>
    <t>November 2025</t>
  </si>
  <si>
    <t>Est November2025</t>
  </si>
  <si>
    <t>November 2024</t>
  </si>
  <si>
    <t>November 2023</t>
  </si>
  <si>
    <t>November 2022</t>
  </si>
  <si>
    <t>Ave:  November 25 Est, 24, 23, 22</t>
  </si>
  <si>
    <t xml:space="preserve">Ave:  November 25 Est, 24, 23, </t>
  </si>
  <si>
    <t>Est November 2025</t>
  </si>
  <si>
    <t>Ave:  November 25 Est, 24, 23</t>
  </si>
  <si>
    <t>Note:  September 2015 - September 2017 are recalculated figures that reflect percentages that would have existed if rules in effect on Aug. 1, 2017  were in effect in the past</t>
  </si>
  <si>
    <t>November 2024 - September 2024 Delta</t>
  </si>
  <si>
    <t>September 2025</t>
  </si>
  <si>
    <t>Note:  March2015 - September 2017 are recalculated figures that reflect percentages that would have existed if rules in effect on Aug. 1, 2017  were in effect in the 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</si>
</sst>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quot;$&quot;#,##0.0000"/>
    <numFmt numFmtId="166" formatCode="mmm\-yyyy"/>
    <numFmt numFmtId="167" formatCode="mmmm\ yyyy"/>
    <numFmt numFmtId="168" formatCode="0.0%"/>
    <numFmt numFmtId="169" formatCode="&quot;$&quot;#,##0.0000_);[Red]\(&quot;$&quot;#,##0.0000\)"/>
    <numFmt numFmtId="170" formatCode="&quot;$&quot;#,##0.0000000"/>
    <numFmt numFmtId="171" formatCode="&quot;$&quot;#,##0.0000000_);[Red]\(&quot;$&quot;#,##0.0000000\)"/>
    <numFmt numFmtId="172" formatCode="&quot;$&quot;#,##0.000_);[Red]\(&quot;$&quot;#,##0.000\)"/>
    <numFmt numFmtId="173" formatCode="&quot;$&quot;#,##0.000000_);[Red]\(&quot;$&quot;#,##0.000000\)"/>
    <numFmt numFmtId="174" formatCode="mmmm\-yyyy"/>
    <numFmt numFmtId="175" formatCode="0.0000"/>
    <numFmt numFmtId="176" formatCode="_(* #,##0_);_(* \(#,##0\);_(* &quot;-&quot;??_);_(@_)"/>
    <numFmt numFmtId="177" formatCode="_(* #,##0.0000_);_(* \(#,##0.0000\);_(* &quot;-&quot;??_);_(@_)"/>
    <numFmt numFmtId="178" formatCode="#,##0.0000"/>
    <numFmt numFmtId="179" formatCode="&quot;$&quot;#,##0.00000_);[Red]\(&quot;$&quot;#,##0.00000\)"/>
    <numFmt numFmtId="180" formatCode="&quot;$&quot;#,##0.00000"/>
    <numFmt numFmtId="181" formatCode="_(* #,##0.0_);_(* \(#,##0.0\);_(* &quot;-&quot;??_);_(@_)"/>
    <numFmt numFmtId="182" formatCode="_(* #,##0_);_(* \(#,##0\);_(* &quot;-&quot;?_);_(@_)"/>
    <numFmt numFmtId="183" formatCode="0.00000000000000%"/>
    <numFmt numFmtId="184" formatCode="0.00%_);[Red]\(0.00%\)"/>
    <numFmt numFmtId="185" formatCode="0.0000%_);[Red]\(0.0000%\)"/>
    <numFmt numFmtId="186"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0"/>
      <name val="Arial"/>
      <family val="2"/>
    </font>
    <font>
      <sz val="12"/>
      <name val="Arial"/>
      <family val="2"/>
    </font>
    <font>
      <b/>
      <sz val="10"/>
      <name val="Arial"/>
      <family val="2"/>
    </font>
    <font>
      <b/>
      <sz val="11"/>
      <name val="Calibri"/>
      <family val="2"/>
      <scheme val="minor"/>
    </font>
    <font>
      <b/>
      <sz val="12"/>
      <color theme="1"/>
      <name val="Calibri"/>
      <family val="2"/>
      <scheme val="minor"/>
    </font>
    <font>
      <b/>
      <sz val="16"/>
      <color theme="1"/>
      <name val="Calibri"/>
      <family val="2"/>
      <scheme val="minor"/>
    </font>
    <font>
      <b/>
      <sz val="12"/>
      <name val="Calibri"/>
      <family val="2"/>
      <scheme val="minor"/>
    </font>
    <font>
      <b/>
      <u/>
      <sz val="14"/>
      <color theme="1"/>
      <name val="Calibri"/>
      <family val="2"/>
      <scheme val="minor"/>
    </font>
    <font>
      <sz val="14"/>
      <color theme="1"/>
      <name val="Calibri"/>
      <family val="2"/>
      <scheme val="minor"/>
    </font>
    <font>
      <b/>
      <sz val="18"/>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b/>
      <sz val="20"/>
      <color theme="1"/>
      <name val="Calibri"/>
      <family val="2"/>
      <scheme val="minor"/>
    </font>
    <font>
      <b/>
      <sz val="12"/>
      <color rgb="FFFFFF00"/>
      <name val="Calibri"/>
      <family val="2"/>
      <scheme val="minor"/>
    </font>
    <font>
      <sz val="12"/>
      <color theme="4" tint="0.79998168889431442"/>
      <name val="Calibri"/>
      <family val="2"/>
      <scheme val="minor"/>
    </font>
    <font>
      <sz val="12"/>
      <name val="Calibri"/>
      <family val="2"/>
      <scheme val="minor"/>
    </font>
    <font>
      <b/>
      <sz val="12"/>
      <color theme="4" tint="0.79998168889431442"/>
      <name val="Calibri"/>
      <family val="2"/>
      <scheme val="minor"/>
    </font>
    <font>
      <b/>
      <u val="double"/>
      <sz val="12"/>
      <color theme="1"/>
      <name val="Calibri"/>
      <family val="2"/>
      <scheme val="minor"/>
    </font>
    <font>
      <sz val="12"/>
      <color theme="0" tint="-4.9989318521683403E-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indexed="12"/>
      <name val="Arial"/>
      <family val="2"/>
    </font>
    <font>
      <sz val="10"/>
      <color theme="1"/>
      <name val="Calibri"/>
      <family val="2"/>
    </font>
    <font>
      <u/>
      <sz val="10"/>
      <color theme="10"/>
      <name val="Arial"/>
      <family val="2"/>
    </font>
    <font>
      <u/>
      <sz val="11"/>
      <color theme="10"/>
      <name val="Calibri"/>
      <family val="2"/>
      <scheme val="minor"/>
    </font>
    <font>
      <sz val="18"/>
      <color theme="3"/>
      <name val="Cambria"/>
      <family val="2"/>
      <scheme val="major"/>
    </font>
    <font>
      <u/>
      <sz val="11"/>
      <color theme="10"/>
      <name val="Calibri"/>
      <family val="2"/>
    </font>
    <font>
      <sz val="10"/>
      <name val="MS Sans Serif"/>
      <family val="2"/>
    </font>
    <font>
      <u/>
      <sz val="10"/>
      <color indexed="12"/>
      <name val="Arial"/>
      <family val="2"/>
    </font>
    <font>
      <b/>
      <i/>
      <sz val="12"/>
      <color rgb="FFFF0000"/>
      <name val="Calibri"/>
      <family val="2"/>
      <scheme val="minor"/>
    </font>
    <font>
      <i/>
      <sz val="12"/>
      <color theme="1"/>
      <name val="Calibri"/>
      <family val="2"/>
      <scheme val="minor"/>
    </font>
    <font>
      <b/>
      <i/>
      <sz val="12"/>
      <color theme="1"/>
      <name val="Calibri"/>
      <family val="2"/>
      <scheme val="minor"/>
    </font>
    <font>
      <i/>
      <sz val="11"/>
      <color rgb="FFFF0000"/>
      <name val="Calibri"/>
      <family val="2"/>
      <scheme val="minor"/>
    </font>
    <font>
      <sz val="11"/>
      <color theme="1"/>
      <name val="Calibri"/>
      <family val="2"/>
    </font>
    <font>
      <sz val="9"/>
      <color indexed="81"/>
      <name val="Tahoma"/>
      <family val="2"/>
    </font>
    <font>
      <b/>
      <sz val="9"/>
      <color indexed="81"/>
      <name val="Tahoma"/>
      <family val="2"/>
    </font>
  </fonts>
  <fills count="4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theme="4" tint="0.79998168889431442"/>
      </patternFill>
    </fill>
    <fill>
      <patternFill patternType="solid">
        <fgColor theme="0" tint="-4.9989318521683403E-2"/>
        <bgColor theme="4" tint="0.79995117038483843"/>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66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rgb="FF000000"/>
      </patternFill>
    </fill>
  </fills>
  <borders count="45">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indexed="64"/>
      </right>
      <top style="thin">
        <color indexed="64"/>
      </top>
      <bottom/>
      <diagonal/>
    </border>
    <border>
      <left/>
      <right/>
      <top style="thin">
        <color auto="1"/>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8">
    <xf numFmtId="0" fontId="0" fillId="0" borderId="0"/>
    <xf numFmtId="0" fontId="3" fillId="0" borderId="0"/>
    <xf numFmtId="0" fontId="6" fillId="0" borderId="0"/>
    <xf numFmtId="43" fontId="7"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26" fillId="0" borderId="0" applyNumberFormat="0" applyFill="0" applyBorder="0" applyAlignment="0" applyProtection="0"/>
    <xf numFmtId="0" fontId="27" fillId="0" borderId="19" applyNumberFormat="0" applyFill="0" applyAlignment="0" applyProtection="0"/>
    <xf numFmtId="0" fontId="28" fillId="0" borderId="20" applyNumberFormat="0" applyFill="0" applyAlignment="0" applyProtection="0"/>
    <xf numFmtId="0" fontId="29" fillId="0" borderId="21" applyNumberFormat="0" applyFill="0" applyAlignment="0" applyProtection="0"/>
    <xf numFmtId="0" fontId="29" fillId="0" borderId="0" applyNumberFormat="0" applyFill="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22" applyNumberFormat="0" applyAlignment="0" applyProtection="0"/>
    <xf numFmtId="0" fontId="34" fillId="18" borderId="23" applyNumberFormat="0" applyAlignment="0" applyProtection="0"/>
    <xf numFmtId="0" fontId="35" fillId="18" borderId="22" applyNumberFormat="0" applyAlignment="0" applyProtection="0"/>
    <xf numFmtId="0" fontId="36" fillId="0" borderId="24" applyNumberFormat="0" applyFill="0" applyAlignment="0" applyProtection="0"/>
    <xf numFmtId="0" fontId="37" fillId="19" borderId="25" applyNumberFormat="0" applyAlignment="0" applyProtection="0"/>
    <xf numFmtId="0" fontId="38" fillId="0" borderId="0" applyNumberFormat="0" applyFill="0" applyBorder="0" applyAlignment="0" applyProtection="0"/>
    <xf numFmtId="0" fontId="1" fillId="20" borderId="26" applyNumberFormat="0" applyFont="0" applyAlignment="0" applyProtection="0"/>
    <xf numFmtId="0" fontId="39" fillId="0" borderId="0" applyNumberFormat="0" applyFill="0" applyBorder="0" applyAlignment="0" applyProtection="0"/>
    <xf numFmtId="0" fontId="2" fillId="0" borderId="27" applyNumberFormat="0" applyFill="0" applyAlignment="0" applyProtection="0"/>
    <xf numFmtId="0" fontId="4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0" fillId="44" borderId="0" applyNumberFormat="0" applyBorder="0" applyAlignment="0" applyProtection="0"/>
    <xf numFmtId="0" fontId="41" fillId="0" borderId="0">
      <alignment horizontal="left" vertical="center" indent="1"/>
    </xf>
    <xf numFmtId="44" fontId="5" fillId="0" borderId="0" applyFont="0" applyFill="0" applyBorder="0" applyAlignment="0" applyProtection="0"/>
    <xf numFmtId="0" fontId="6" fillId="0" borderId="0"/>
    <xf numFmtId="43" fontId="5" fillId="0" borderId="0" applyFont="0" applyFill="0" applyBorder="0" applyAlignment="0" applyProtection="0"/>
    <xf numFmtId="9" fontId="5" fillId="0" borderId="0" applyFont="0" applyFill="0" applyBorder="0" applyAlignment="0" applyProtection="0"/>
    <xf numFmtId="0" fontId="42" fillId="0" borderId="0"/>
    <xf numFmtId="0" fontId="42" fillId="0" borderId="0"/>
    <xf numFmtId="0" fontId="42" fillId="0" borderId="0"/>
    <xf numFmtId="0" fontId="5" fillId="0" borderId="0"/>
    <xf numFmtId="9" fontId="5" fillId="0" borderId="0" applyFont="0" applyFill="0" applyBorder="0" applyAlignment="0" applyProtection="0"/>
    <xf numFmtId="0" fontId="1" fillId="0" borderId="0"/>
    <xf numFmtId="0" fontId="1" fillId="20" borderId="26" applyNumberFormat="0" applyFont="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2" fillId="0" borderId="0"/>
    <xf numFmtId="0" fontId="42" fillId="0" borderId="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xf numFmtId="0" fontId="1" fillId="20" borderId="26" applyNumberFormat="0" applyFont="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43" fillId="0" borderId="0" applyNumberFormat="0" applyFill="0" applyBorder="0" applyAlignment="0" applyProtection="0">
      <alignment vertical="top"/>
      <protection locked="0"/>
    </xf>
    <xf numFmtId="0" fontId="45" fillId="0" borderId="0" applyNumberFormat="0" applyFill="0" applyBorder="0" applyAlignment="0" applyProtection="0"/>
    <xf numFmtId="0" fontId="47" fillId="0" borderId="0"/>
    <xf numFmtId="0" fontId="1" fillId="0" borderId="0"/>
    <xf numFmtId="0" fontId="46" fillId="0" borderId="0" applyNumberFormat="0" applyFill="0" applyBorder="0" applyAlignment="0" applyProtection="0">
      <alignment vertical="top"/>
      <protection locked="0"/>
    </xf>
    <xf numFmtId="0" fontId="47" fillId="0" borderId="0"/>
    <xf numFmtId="0" fontId="44" fillId="0" borderId="0" applyNumberFormat="0" applyFill="0" applyBorder="0" applyAlignment="0" applyProtection="0"/>
    <xf numFmtId="0" fontId="48"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1" fillId="0" borderId="0" xfId="0" applyFont="1"/>
    <xf numFmtId="0" fontId="1" fillId="0" borderId="0" xfId="1" applyFont="1"/>
    <xf numFmtId="0" fontId="2" fillId="0" borderId="0" xfId="0" applyFont="1"/>
    <xf numFmtId="0" fontId="2" fillId="0" borderId="0" xfId="0" applyFont="1" applyAlignment="1">
      <alignment horizontal="center" wrapText="1"/>
    </xf>
    <xf numFmtId="10" fontId="1" fillId="0" borderId="0" xfId="0" applyNumberFormat="1" applyFont="1"/>
    <xf numFmtId="0" fontId="0" fillId="0" borderId="0" xfId="0" applyAlignment="1">
      <alignment horizontal="centerContinuous"/>
    </xf>
    <xf numFmtId="0" fontId="1" fillId="0" borderId="0" xfId="0" applyFont="1" applyAlignment="1">
      <alignment horizontal="centerContinuous"/>
    </xf>
    <xf numFmtId="0" fontId="1" fillId="0" borderId="0" xfId="1" applyFont="1" applyAlignment="1">
      <alignment horizontal="centerContinuous"/>
    </xf>
    <xf numFmtId="0" fontId="10" fillId="0" borderId="0" xfId="1" applyFont="1" applyAlignment="1">
      <alignment horizontal="centerContinuous"/>
    </xf>
    <xf numFmtId="0" fontId="11" fillId="3" borderId="7" xfId="5" applyFont="1" applyFill="1" applyBorder="1" applyAlignment="1">
      <alignment wrapText="1"/>
    </xf>
    <xf numFmtId="0" fontId="9" fillId="5" borderId="3" xfId="1" applyFont="1" applyFill="1" applyBorder="1"/>
    <xf numFmtId="0" fontId="8" fillId="0" borderId="0" xfId="0" applyFont="1" applyAlignment="1">
      <alignment horizontal="centerContinuous"/>
    </xf>
    <xf numFmtId="10" fontId="0" fillId="0" borderId="0" xfId="0" applyNumberFormat="1"/>
    <xf numFmtId="166" fontId="0" fillId="0" borderId="0" xfId="0" applyNumberFormat="1" applyAlignment="1">
      <alignment horizontal="left"/>
    </xf>
    <xf numFmtId="166" fontId="0" fillId="0" borderId="0" xfId="0" applyNumberFormat="1"/>
    <xf numFmtId="0" fontId="8" fillId="3" borderId="0" xfId="0" applyFont="1" applyFill="1" applyAlignment="1">
      <alignment horizontal="left"/>
    </xf>
    <xf numFmtId="0" fontId="0" fillId="3" borderId="0" xfId="0" applyFill="1" applyAlignment="1">
      <alignment horizontal="centerContinuous"/>
    </xf>
    <xf numFmtId="0" fontId="8" fillId="3" borderId="0" xfId="0" applyFont="1" applyFill="1" applyAlignment="1">
      <alignment horizontal="center"/>
    </xf>
    <xf numFmtId="0" fontId="0" fillId="3" borderId="0" xfId="0" applyFill="1"/>
    <xf numFmtId="0" fontId="2" fillId="3" borderId="0" xfId="0" applyFont="1" applyFill="1" applyAlignment="1">
      <alignment horizontal="center" wrapText="1"/>
    </xf>
    <xf numFmtId="41" fontId="0" fillId="0" borderId="0" xfId="0" applyNumberFormat="1"/>
    <xf numFmtId="0" fontId="2" fillId="3" borderId="0" xfId="0" applyFont="1" applyFill="1"/>
    <xf numFmtId="0" fontId="2" fillId="7" borderId="0" xfId="0" applyFont="1" applyFill="1"/>
    <xf numFmtId="0" fontId="2" fillId="3" borderId="0" xfId="0" applyFont="1" applyFill="1" applyAlignment="1">
      <alignment horizontal="center"/>
    </xf>
    <xf numFmtId="164" fontId="0" fillId="0" borderId="0" xfId="0" applyNumberFormat="1"/>
    <xf numFmtId="167" fontId="4" fillId="0" borderId="0" xfId="0" applyNumberFormat="1" applyFont="1" applyAlignment="1">
      <alignment horizontal="centerContinuous"/>
    </xf>
    <xf numFmtId="174" fontId="2" fillId="0" borderId="0" xfId="0" applyNumberFormat="1" applyFont="1" applyAlignment="1">
      <alignment horizontal="left"/>
    </xf>
    <xf numFmtId="0" fontId="2" fillId="0" borderId="0" xfId="0" applyFont="1" applyAlignment="1">
      <alignment horizontal="center"/>
    </xf>
    <xf numFmtId="0" fontId="2" fillId="6" borderId="0" xfId="0" applyFont="1" applyFill="1" applyAlignment="1">
      <alignment horizontal="center" wrapText="1"/>
    </xf>
    <xf numFmtId="175" fontId="0" fillId="0" borderId="0" xfId="0" applyNumberFormat="1"/>
    <xf numFmtId="0" fontId="0" fillId="12" borderId="0" xfId="0" applyFill="1"/>
    <xf numFmtId="164" fontId="0" fillId="12" borderId="0" xfId="0" applyNumberFormat="1" applyFill="1"/>
    <xf numFmtId="3" fontId="0" fillId="12" borderId="0" xfId="0" applyNumberFormat="1" applyFill="1"/>
    <xf numFmtId="167" fontId="2" fillId="0" borderId="0" xfId="0" applyNumberFormat="1" applyFont="1" applyAlignment="1">
      <alignment horizontal="left"/>
    </xf>
    <xf numFmtId="0" fontId="0" fillId="0" borderId="0" xfId="0" applyAlignment="1">
      <alignment horizontal="left" indent="2"/>
    </xf>
    <xf numFmtId="0" fontId="0" fillId="0" borderId="0" xfId="1" applyFont="1"/>
    <xf numFmtId="0" fontId="2" fillId="12" borderId="0" xfId="0" applyFont="1" applyFill="1" applyAlignment="1">
      <alignment horizontal="center"/>
    </xf>
    <xf numFmtId="164" fontId="0" fillId="12" borderId="1" xfId="0" applyNumberFormat="1" applyFill="1" applyBorder="1"/>
    <xf numFmtId="8" fontId="0" fillId="12" borderId="0" xfId="0" applyNumberFormat="1" applyFill="1"/>
    <xf numFmtId="0" fontId="0" fillId="0" borderId="0" xfId="0" applyAlignment="1">
      <alignment wrapText="1"/>
    </xf>
    <xf numFmtId="0" fontId="14" fillId="0" borderId="0" xfId="0" applyFont="1"/>
    <xf numFmtId="0" fontId="14" fillId="0" borderId="0" xfId="0" applyFont="1" applyAlignment="1">
      <alignment horizontal="center"/>
    </xf>
    <xf numFmtId="0" fontId="14" fillId="13" borderId="18" xfId="0" applyFont="1" applyFill="1" applyBorder="1" applyAlignment="1" applyProtection="1">
      <alignment horizontal="centerContinuous" vertical="center"/>
      <protection locked="0"/>
    </xf>
    <xf numFmtId="0" fontId="3" fillId="5" borderId="2" xfId="0" applyFont="1" applyFill="1" applyBorder="1"/>
    <xf numFmtId="0" fontId="9" fillId="5" borderId="2" xfId="0" applyFont="1" applyFill="1" applyBorder="1" applyAlignment="1">
      <alignment horizontal="center" wrapText="1"/>
    </xf>
    <xf numFmtId="0" fontId="9" fillId="5" borderId="11" xfId="0" applyFont="1" applyFill="1" applyBorder="1" applyAlignment="1">
      <alignment horizontal="center" wrapText="1"/>
    </xf>
    <xf numFmtId="0" fontId="3" fillId="5" borderId="4" xfId="1" applyFill="1" applyBorder="1" applyAlignment="1">
      <alignment horizontal="left" indent="1"/>
    </xf>
    <xf numFmtId="0" fontId="3" fillId="5" borderId="0" xfId="0" applyFont="1" applyFill="1"/>
    <xf numFmtId="3" fontId="21" fillId="5" borderId="0" xfId="0" applyNumberFormat="1" applyFont="1" applyFill="1"/>
    <xf numFmtId="3" fontId="21" fillId="5" borderId="5" xfId="0" applyNumberFormat="1" applyFont="1" applyFill="1" applyBorder="1"/>
    <xf numFmtId="0" fontId="3" fillId="5" borderId="1" xfId="0" applyFont="1" applyFill="1" applyBorder="1"/>
    <xf numFmtId="3" fontId="21" fillId="5" borderId="1" xfId="0" applyNumberFormat="1" applyFont="1" applyFill="1" applyBorder="1"/>
    <xf numFmtId="3" fontId="21" fillId="5" borderId="6" xfId="0" applyNumberFormat="1" applyFont="1" applyFill="1" applyBorder="1"/>
    <xf numFmtId="0" fontId="3" fillId="5" borderId="4" xfId="1" applyFill="1" applyBorder="1"/>
    <xf numFmtId="0" fontId="3" fillId="5" borderId="5" xfId="0" applyFont="1" applyFill="1" applyBorder="1"/>
    <xf numFmtId="0" fontId="11" fillId="5" borderId="4" xfId="5" applyFont="1" applyFill="1" applyBorder="1" applyAlignment="1">
      <alignment wrapText="1"/>
    </xf>
    <xf numFmtId="0" fontId="11" fillId="5" borderId="0" xfId="5" applyFont="1" applyFill="1" applyAlignment="1">
      <alignment horizontal="center" wrapText="1"/>
    </xf>
    <xf numFmtId="0" fontId="9" fillId="5" borderId="0" xfId="0" applyFont="1" applyFill="1"/>
    <xf numFmtId="0" fontId="9" fillId="5" borderId="0" xfId="0" applyFont="1" applyFill="1" applyAlignment="1">
      <alignment horizontal="center"/>
    </xf>
    <xf numFmtId="0" fontId="9" fillId="5" borderId="5" xfId="0" applyFont="1" applyFill="1" applyBorder="1" applyAlignment="1">
      <alignment horizontal="center"/>
    </xf>
    <xf numFmtId="0" fontId="22" fillId="5" borderId="4" xfId="5" applyFont="1" applyFill="1" applyBorder="1" applyAlignment="1">
      <alignment horizontal="left" indent="1"/>
    </xf>
    <xf numFmtId="165" fontId="21" fillId="5" borderId="0" xfId="5" applyNumberFormat="1" applyFont="1" applyFill="1"/>
    <xf numFmtId="171" fontId="22" fillId="5" borderId="0" xfId="5" applyNumberFormat="1" applyFont="1" applyFill="1"/>
    <xf numFmtId="8" fontId="3" fillId="5" borderId="0" xfId="0" applyNumberFormat="1" applyFont="1" applyFill="1"/>
    <xf numFmtId="170" fontId="22" fillId="5" borderId="0" xfId="5" applyNumberFormat="1" applyFont="1" applyFill="1"/>
    <xf numFmtId="8" fontId="21" fillId="5" borderId="0" xfId="0" applyNumberFormat="1" applyFont="1" applyFill="1"/>
    <xf numFmtId="8" fontId="21" fillId="5" borderId="5" xfId="0" applyNumberFormat="1" applyFont="1" applyFill="1" applyBorder="1"/>
    <xf numFmtId="8" fontId="21" fillId="5" borderId="1" xfId="0" applyNumberFormat="1" applyFont="1" applyFill="1" applyBorder="1"/>
    <xf numFmtId="8" fontId="21" fillId="5" borderId="6" xfId="0" applyNumberFormat="1" applyFont="1" applyFill="1" applyBorder="1"/>
    <xf numFmtId="0" fontId="9" fillId="5" borderId="14" xfId="1" applyFont="1" applyFill="1" applyBorder="1" applyAlignment="1">
      <alignment horizontal="left" indent="1"/>
    </xf>
    <xf numFmtId="165" fontId="23" fillId="5" borderId="13" xfId="5" applyNumberFormat="1" applyFont="1" applyFill="1" applyBorder="1"/>
    <xf numFmtId="8" fontId="24" fillId="5" borderId="0" xfId="0" applyNumberFormat="1" applyFont="1" applyFill="1"/>
    <xf numFmtId="0" fontId="9" fillId="5" borderId="12" xfId="0" applyFont="1" applyFill="1" applyBorder="1"/>
    <xf numFmtId="8" fontId="23" fillId="5" borderId="12" xfId="0" applyNumberFormat="1" applyFont="1" applyFill="1" applyBorder="1"/>
    <xf numFmtId="0" fontId="3" fillId="5" borderId="10" xfId="1" applyFill="1" applyBorder="1"/>
    <xf numFmtId="0" fontId="3" fillId="5" borderId="6" xfId="0" applyFont="1" applyFill="1" applyBorder="1"/>
    <xf numFmtId="0" fontId="11" fillId="3" borderId="8" xfId="5" applyFont="1" applyFill="1" applyBorder="1" applyAlignment="1">
      <alignment horizontal="center" wrapText="1"/>
    </xf>
    <xf numFmtId="0" fontId="3" fillId="3" borderId="8" xfId="0" applyFont="1" applyFill="1" applyBorder="1"/>
    <xf numFmtId="0" fontId="11" fillId="3" borderId="9" xfId="5" applyFont="1" applyFill="1" applyBorder="1" applyAlignment="1">
      <alignment horizontal="center" wrapText="1"/>
    </xf>
    <xf numFmtId="0" fontId="22" fillId="3" borderId="4" xfId="5" applyFont="1" applyFill="1" applyBorder="1" applyAlignment="1">
      <alignment horizontal="left" indent="1"/>
    </xf>
    <xf numFmtId="171" fontId="25" fillId="3" borderId="0" xfId="5" applyNumberFormat="1" applyFont="1" applyFill="1"/>
    <xf numFmtId="170" fontId="25" fillId="3" borderId="0" xfId="5" applyNumberFormat="1" applyFont="1" applyFill="1"/>
    <xf numFmtId="0" fontId="25" fillId="3" borderId="0" xfId="0" applyFont="1" applyFill="1"/>
    <xf numFmtId="169" fontId="25" fillId="3" borderId="5" xfId="0" applyNumberFormat="1" applyFont="1" applyFill="1" applyBorder="1"/>
    <xf numFmtId="0" fontId="22" fillId="3" borderId="10" xfId="5" applyFont="1" applyFill="1" applyBorder="1" applyAlignment="1">
      <alignment horizontal="left" indent="1"/>
    </xf>
    <xf numFmtId="171" fontId="25" fillId="3" borderId="1" xfId="5" applyNumberFormat="1" applyFont="1" applyFill="1" applyBorder="1"/>
    <xf numFmtId="170" fontId="25" fillId="3" borderId="1" xfId="5" applyNumberFormat="1" applyFont="1" applyFill="1" applyBorder="1"/>
    <xf numFmtId="0" fontId="25" fillId="3" borderId="1" xfId="0" applyFont="1" applyFill="1" applyBorder="1"/>
    <xf numFmtId="169" fontId="25" fillId="3" borderId="6" xfId="0" applyNumberFormat="1" applyFont="1" applyFill="1" applyBorder="1"/>
    <xf numFmtId="168" fontId="1" fillId="0" borderId="0" xfId="0" applyNumberFormat="1" applyFont="1"/>
    <xf numFmtId="0" fontId="0" fillId="0" borderId="0" xfId="0" quotePrefix="1"/>
    <xf numFmtId="16" fontId="0" fillId="0" borderId="0" xfId="0" quotePrefix="1" applyNumberFormat="1"/>
    <xf numFmtId="17" fontId="0" fillId="0" borderId="0" xfId="0" quotePrefix="1" applyNumberFormat="1"/>
    <xf numFmtId="176" fontId="0" fillId="0" borderId="0" xfId="126" applyNumberFormat="1" applyFont="1"/>
    <xf numFmtId="164" fontId="0" fillId="0" borderId="0" xfId="127" applyNumberFormat="1" applyFont="1"/>
    <xf numFmtId="177" fontId="0" fillId="0" borderId="0" xfId="126" applyNumberFormat="1" applyFont="1"/>
    <xf numFmtId="177" fontId="0" fillId="0" borderId="0" xfId="0" applyNumberFormat="1"/>
    <xf numFmtId="164" fontId="0" fillId="0" borderId="0" xfId="0" applyNumberFormat="1" applyAlignment="1">
      <alignment horizontal="right"/>
    </xf>
    <xf numFmtId="178" fontId="0" fillId="0" borderId="0" xfId="0" applyNumberFormat="1"/>
    <xf numFmtId="0" fontId="0" fillId="0" borderId="0" xfId="0" applyAlignment="1">
      <alignment horizontal="center"/>
    </xf>
    <xf numFmtId="38" fontId="0" fillId="0" borderId="0" xfId="0" applyNumberFormat="1"/>
    <xf numFmtId="0" fontId="9" fillId="8" borderId="3" xfId="0" applyFont="1" applyFill="1" applyBorder="1"/>
    <xf numFmtId="0" fontId="3" fillId="8" borderId="11" xfId="0" applyFont="1" applyFill="1" applyBorder="1"/>
    <xf numFmtId="0" fontId="3" fillId="8" borderId="4" xfId="0" applyFont="1" applyFill="1" applyBorder="1"/>
    <xf numFmtId="0" fontId="3" fillId="8" borderId="5" xfId="0" applyFont="1" applyFill="1" applyBorder="1"/>
    <xf numFmtId="8" fontId="3" fillId="8" borderId="5" xfId="0" applyNumberFormat="1" applyFont="1" applyFill="1" applyBorder="1"/>
    <xf numFmtId="0" fontId="3" fillId="8" borderId="10" xfId="0" applyFont="1" applyFill="1" applyBorder="1"/>
    <xf numFmtId="8" fontId="3" fillId="8" borderId="6" xfId="0" applyNumberFormat="1" applyFont="1" applyFill="1" applyBorder="1"/>
    <xf numFmtId="8" fontId="9" fillId="8" borderId="11" xfId="0" applyNumberFormat="1" applyFont="1" applyFill="1" applyBorder="1"/>
    <xf numFmtId="0" fontId="0" fillId="8" borderId="4" xfId="0" applyFill="1" applyBorder="1"/>
    <xf numFmtId="0" fontId="0" fillId="8" borderId="5" xfId="0" applyFill="1" applyBorder="1"/>
    <xf numFmtId="0" fontId="0" fillId="8" borderId="10" xfId="0" applyFill="1" applyBorder="1"/>
    <xf numFmtId="165" fontId="0" fillId="8" borderId="6" xfId="0" applyNumberFormat="1" applyFill="1" applyBorder="1"/>
    <xf numFmtId="169" fontId="0" fillId="2" borderId="28" xfId="0" applyNumberFormat="1" applyFill="1" applyBorder="1" applyProtection="1">
      <protection locked="0"/>
    </xf>
    <xf numFmtId="8" fontId="0" fillId="45" borderId="28" xfId="0" applyNumberFormat="1" applyFill="1" applyBorder="1" applyProtection="1">
      <protection locked="0"/>
    </xf>
    <xf numFmtId="0" fontId="0" fillId="0" borderId="28" xfId="0" applyBorder="1" applyProtection="1">
      <protection locked="0"/>
    </xf>
    <xf numFmtId="3" fontId="20" fillId="2" borderId="28" xfId="0" applyNumberFormat="1" applyFont="1" applyFill="1" applyBorder="1" applyProtection="1">
      <protection locked="0"/>
    </xf>
    <xf numFmtId="164" fontId="20" fillId="2" borderId="28" xfId="0" applyNumberFormat="1" applyFont="1" applyFill="1" applyBorder="1" applyProtection="1">
      <protection locked="0"/>
    </xf>
    <xf numFmtId="0" fontId="9" fillId="3" borderId="29" xfId="0" applyFont="1" applyFill="1" applyBorder="1" applyAlignment="1">
      <alignment horizontal="centerContinuous" wrapText="1"/>
    </xf>
    <xf numFmtId="0" fontId="1" fillId="3" borderId="30" xfId="0" applyFont="1" applyFill="1" applyBorder="1" applyAlignment="1">
      <alignment horizontal="centerContinuous" wrapText="1"/>
    </xf>
    <xf numFmtId="0" fontId="1" fillId="3" borderId="31" xfId="0" applyFont="1" applyFill="1" applyBorder="1" applyAlignment="1">
      <alignment horizontal="centerContinuous" wrapText="1"/>
    </xf>
    <xf numFmtId="0" fontId="9" fillId="0" borderId="39" xfId="1" applyFont="1" applyBorder="1"/>
    <xf numFmtId="0" fontId="3" fillId="0" borderId="40" xfId="0" applyFont="1" applyBorder="1"/>
    <xf numFmtId="0" fontId="3" fillId="0" borderId="41" xfId="0" applyFont="1" applyBorder="1"/>
    <xf numFmtId="0" fontId="3" fillId="0" borderId="32" xfId="1" applyBorder="1"/>
    <xf numFmtId="0" fontId="3" fillId="0" borderId="0" xfId="0" applyFont="1"/>
    <xf numFmtId="0" fontId="3" fillId="0" borderId="33" xfId="0" applyFont="1" applyBorder="1"/>
    <xf numFmtId="0" fontId="9" fillId="0" borderId="32" xfId="1" applyFont="1" applyBorder="1"/>
    <xf numFmtId="3" fontId="3" fillId="10" borderId="0" xfId="0" applyNumberFormat="1" applyFont="1" applyFill="1"/>
    <xf numFmtId="164" fontId="3" fillId="10" borderId="0" xfId="0" applyNumberFormat="1" applyFont="1" applyFill="1"/>
    <xf numFmtId="0" fontId="3" fillId="0" borderId="32" xfId="0" applyFont="1" applyBorder="1"/>
    <xf numFmtId="0" fontId="11" fillId="0" borderId="32" xfId="5" applyFont="1" applyBorder="1"/>
    <xf numFmtId="0" fontId="11" fillId="0" borderId="0" xfId="5" applyFont="1" applyAlignment="1">
      <alignment horizontal="center" wrapText="1"/>
    </xf>
    <xf numFmtId="0" fontId="22" fillId="0" borderId="32" xfId="5" applyFont="1" applyBorder="1" applyAlignment="1">
      <alignment horizontal="left" indent="1"/>
    </xf>
    <xf numFmtId="3" fontId="22" fillId="0" borderId="0" xfId="5" applyNumberFormat="1" applyFont="1"/>
    <xf numFmtId="0" fontId="22" fillId="0" borderId="34" xfId="5" applyFont="1" applyBorder="1" applyAlignment="1">
      <alignment horizontal="left" indent="1"/>
    </xf>
    <xf numFmtId="3" fontId="22" fillId="0" borderId="1" xfId="5" applyNumberFormat="1" applyFont="1" applyBorder="1"/>
    <xf numFmtId="0" fontId="11" fillId="0" borderId="0" xfId="5" applyFont="1" applyAlignment="1">
      <alignment wrapText="1"/>
    </xf>
    <xf numFmtId="0" fontId="11" fillId="0" borderId="33" xfId="5" applyFont="1" applyBorder="1" applyAlignment="1">
      <alignment horizontal="center" wrapText="1"/>
    </xf>
    <xf numFmtId="0" fontId="22" fillId="0" borderId="0" xfId="5" applyFont="1"/>
    <xf numFmtId="0" fontId="22" fillId="0" borderId="0" xfId="5" applyFont="1" applyAlignment="1">
      <alignment horizontal="left" indent="1"/>
    </xf>
    <xf numFmtId="10" fontId="3" fillId="10" borderId="0" xfId="0" applyNumberFormat="1" applyFont="1" applyFill="1"/>
    <xf numFmtId="10" fontId="3" fillId="10" borderId="33" xfId="0" applyNumberFormat="1" applyFont="1" applyFill="1" applyBorder="1"/>
    <xf numFmtId="0" fontId="22" fillId="0" borderId="1" xfId="5" applyFont="1" applyBorder="1" applyAlignment="1">
      <alignment horizontal="left" indent="1"/>
    </xf>
    <xf numFmtId="10" fontId="3" fillId="10" borderId="1" xfId="0" applyNumberFormat="1" applyFont="1" applyFill="1" applyBorder="1"/>
    <xf numFmtId="10" fontId="3" fillId="10" borderId="38" xfId="0" applyNumberFormat="1" applyFont="1" applyFill="1" applyBorder="1"/>
    <xf numFmtId="3" fontId="3" fillId="0" borderId="0" xfId="0" applyNumberFormat="1" applyFont="1"/>
    <xf numFmtId="168" fontId="9" fillId="0" borderId="0" xfId="0" applyNumberFormat="1" applyFont="1" applyAlignment="1">
      <alignment horizontal="right" indent="1"/>
    </xf>
    <xf numFmtId="10" fontId="3" fillId="0" borderId="0" xfId="0" applyNumberFormat="1" applyFont="1"/>
    <xf numFmtId="10" fontId="3" fillId="0" borderId="33" xfId="0" applyNumberFormat="1" applyFont="1" applyBorder="1"/>
    <xf numFmtId="168" fontId="3" fillId="0" borderId="0" xfId="0" applyNumberFormat="1" applyFont="1"/>
    <xf numFmtId="168" fontId="3" fillId="0" borderId="33" xfId="0" applyNumberFormat="1" applyFont="1" applyBorder="1"/>
    <xf numFmtId="0" fontId="11" fillId="0" borderId="32" xfId="5" applyFont="1" applyBorder="1" applyAlignment="1">
      <alignment horizontal="left"/>
    </xf>
    <xf numFmtId="0" fontId="9" fillId="0" borderId="0" xfId="0" applyFont="1" applyAlignment="1">
      <alignment horizontal="center"/>
    </xf>
    <xf numFmtId="0" fontId="11" fillId="0" borderId="0" xfId="5" applyFont="1" applyAlignment="1">
      <alignment horizontal="left"/>
    </xf>
    <xf numFmtId="0" fontId="9" fillId="0" borderId="0" xfId="0" applyFont="1" applyAlignment="1">
      <alignment horizontal="center" wrapText="1"/>
    </xf>
    <xf numFmtId="0" fontId="9" fillId="0" borderId="33" xfId="0" applyFont="1" applyBorder="1" applyAlignment="1">
      <alignment horizontal="center" wrapText="1"/>
    </xf>
    <xf numFmtId="0" fontId="3" fillId="0" borderId="32" xfId="0" applyFont="1" applyBorder="1" applyAlignment="1">
      <alignment horizontal="left" indent="1"/>
    </xf>
    <xf numFmtId="8" fontId="3" fillId="0" borderId="0" xfId="0" applyNumberFormat="1" applyFont="1"/>
    <xf numFmtId="0" fontId="3" fillId="0" borderId="0" xfId="0" applyFont="1" applyAlignment="1">
      <alignment horizontal="left" indent="1"/>
    </xf>
    <xf numFmtId="8" fontId="3" fillId="12" borderId="0" xfId="0" applyNumberFormat="1" applyFont="1" applyFill="1"/>
    <xf numFmtId="169" fontId="3" fillId="12" borderId="0" xfId="0" applyNumberFormat="1" applyFont="1" applyFill="1"/>
    <xf numFmtId="171" fontId="3" fillId="0" borderId="33" xfId="0" applyNumberFormat="1" applyFont="1" applyBorder="1"/>
    <xf numFmtId="0" fontId="3" fillId="0" borderId="34" xfId="0" applyFont="1" applyBorder="1" applyAlignment="1">
      <alignment horizontal="left" indent="1"/>
    </xf>
    <xf numFmtId="8" fontId="3" fillId="0" borderId="1" xfId="0" applyNumberFormat="1" applyFont="1" applyBorder="1"/>
    <xf numFmtId="0" fontId="9" fillId="0" borderId="32" xfId="0" applyFont="1" applyBorder="1" applyAlignment="1">
      <alignment horizontal="left" indent="1"/>
    </xf>
    <xf numFmtId="8" fontId="3" fillId="9" borderId="0" xfId="0" applyNumberFormat="1" applyFont="1" applyFill="1"/>
    <xf numFmtId="8" fontId="3" fillId="8" borderId="0" xfId="0" applyNumberFormat="1" applyFont="1" applyFill="1"/>
    <xf numFmtId="0" fontId="3" fillId="0" borderId="1" xfId="0" applyFont="1" applyBorder="1"/>
    <xf numFmtId="8" fontId="9" fillId="0" borderId="0" xfId="0" applyNumberFormat="1" applyFont="1"/>
    <xf numFmtId="8" fontId="24" fillId="0" borderId="0" xfId="0" applyNumberFormat="1" applyFont="1"/>
    <xf numFmtId="0" fontId="9" fillId="0" borderId="32" xfId="0" applyFont="1" applyBorder="1" applyAlignment="1">
      <alignment horizontal="left"/>
    </xf>
    <xf numFmtId="0" fontId="9" fillId="0" borderId="0" xfId="0" applyFont="1" applyAlignment="1">
      <alignment horizontal="left"/>
    </xf>
    <xf numFmtId="0" fontId="9" fillId="0" borderId="33" xfId="0" applyFont="1" applyBorder="1" applyAlignment="1">
      <alignment horizontal="center"/>
    </xf>
    <xf numFmtId="171" fontId="3" fillId="0" borderId="0" xfId="0" applyNumberFormat="1" applyFont="1"/>
    <xf numFmtId="173" fontId="3" fillId="0" borderId="0" xfId="0" applyNumberFormat="1" applyFont="1"/>
    <xf numFmtId="171" fontId="3" fillId="0" borderId="1" xfId="0" applyNumberFormat="1" applyFont="1" applyBorder="1"/>
    <xf numFmtId="173" fontId="3" fillId="0" borderId="1" xfId="0" applyNumberFormat="1" applyFont="1" applyBorder="1"/>
    <xf numFmtId="0" fontId="3" fillId="0" borderId="1" xfId="0" applyFont="1" applyBorder="1" applyAlignment="1">
      <alignment horizontal="left" indent="1"/>
    </xf>
    <xf numFmtId="171" fontId="3" fillId="0" borderId="38" xfId="0" applyNumberFormat="1" applyFont="1" applyBorder="1"/>
    <xf numFmtId="0" fontId="9" fillId="11" borderId="42" xfId="0" applyFont="1" applyFill="1" applyBorder="1" applyAlignment="1">
      <alignment horizontal="left" indent="1"/>
    </xf>
    <xf numFmtId="0" fontId="9" fillId="11" borderId="43" xfId="0" applyFont="1" applyFill="1" applyBorder="1"/>
    <xf numFmtId="171" fontId="9" fillId="11" borderId="43" xfId="0" applyNumberFormat="1" applyFont="1" applyFill="1" applyBorder="1"/>
    <xf numFmtId="173" fontId="9" fillId="11" borderId="43" xfId="0" applyNumberFormat="1" applyFont="1" applyFill="1" applyBorder="1"/>
    <xf numFmtId="0" fontId="9" fillId="11" borderId="43" xfId="0" applyFont="1" applyFill="1" applyBorder="1" applyAlignment="1">
      <alignment horizontal="left" indent="1"/>
    </xf>
    <xf numFmtId="171" fontId="9" fillId="11" borderId="44" xfId="0" applyNumberFormat="1" applyFont="1" applyFill="1" applyBorder="1"/>
    <xf numFmtId="0" fontId="3" fillId="4" borderId="32" xfId="0" applyFont="1" applyFill="1" applyBorder="1" applyAlignment="1">
      <alignment horizontal="left" wrapText="1"/>
    </xf>
    <xf numFmtId="0" fontId="11" fillId="4" borderId="0" xfId="5" applyFont="1" applyFill="1" applyAlignment="1">
      <alignment horizontal="center" wrapText="1"/>
    </xf>
    <xf numFmtId="0" fontId="3" fillId="4" borderId="32" xfId="0" applyFont="1" applyFill="1" applyBorder="1" applyAlignment="1">
      <alignment horizontal="left"/>
    </xf>
    <xf numFmtId="38" fontId="3" fillId="4" borderId="0" xfId="0" applyNumberFormat="1" applyFont="1" applyFill="1"/>
    <xf numFmtId="0" fontId="3" fillId="0" borderId="0" xfId="0" applyFont="1" applyAlignment="1">
      <alignment horizontal="left"/>
    </xf>
    <xf numFmtId="38" fontId="3" fillId="0" borderId="0" xfId="0" applyNumberFormat="1" applyFont="1"/>
    <xf numFmtId="0" fontId="3" fillId="0" borderId="32" xfId="0" applyFont="1" applyBorder="1" applyAlignment="1">
      <alignment horizontal="left" wrapText="1" indent="1"/>
    </xf>
    <xf numFmtId="0" fontId="3" fillId="0" borderId="32" xfId="0" applyFont="1" applyBorder="1" applyAlignment="1">
      <alignment horizontal="left" indent="3"/>
    </xf>
    <xf numFmtId="10" fontId="3" fillId="0" borderId="1" xfId="0" applyNumberFormat="1" applyFont="1" applyBorder="1"/>
    <xf numFmtId="0" fontId="9" fillId="0" borderId="0" xfId="0" applyFont="1" applyAlignment="1">
      <alignment horizontal="left" indent="1"/>
    </xf>
    <xf numFmtId="8" fontId="3" fillId="0" borderId="0" xfId="0" applyNumberFormat="1" applyFont="1" applyAlignment="1">
      <alignment horizontal="right" indent="1"/>
    </xf>
    <xf numFmtId="0" fontId="3" fillId="0" borderId="34" xfId="0" applyFont="1" applyBorder="1" applyAlignment="1">
      <alignment horizontal="left" indent="3"/>
    </xf>
    <xf numFmtId="0" fontId="9" fillId="0" borderId="32" xfId="0" applyFont="1" applyBorder="1" applyAlignment="1">
      <alignment horizontal="left" wrapText="1" indent="1"/>
    </xf>
    <xf numFmtId="0" fontId="3" fillId="0" borderId="35" xfId="0" applyFont="1" applyBorder="1" applyAlignment="1">
      <alignment horizontal="left" indent="3"/>
    </xf>
    <xf numFmtId="38" fontId="3" fillId="0" borderId="36" xfId="0" applyNumberFormat="1" applyFont="1" applyBorder="1"/>
    <xf numFmtId="0" fontId="3" fillId="0" borderId="36" xfId="0" applyFont="1" applyBorder="1"/>
    <xf numFmtId="0" fontId="3" fillId="0" borderId="36" xfId="0" applyFont="1" applyBorder="1" applyAlignment="1">
      <alignment horizontal="left" indent="1"/>
    </xf>
    <xf numFmtId="10" fontId="3" fillId="0" borderId="36" xfId="0" applyNumberFormat="1" applyFont="1" applyBorder="1"/>
    <xf numFmtId="10" fontId="3" fillId="0" borderId="37" xfId="0" applyNumberFormat="1" applyFont="1" applyBorder="1"/>
    <xf numFmtId="0" fontId="9" fillId="4" borderId="32" xfId="0" applyFont="1" applyFill="1" applyBorder="1" applyAlignment="1">
      <alignment horizontal="left"/>
    </xf>
    <xf numFmtId="0" fontId="3" fillId="4" borderId="32" xfId="0" applyFont="1" applyFill="1" applyBorder="1"/>
    <xf numFmtId="172" fontId="3" fillId="0" borderId="0" xfId="0" applyNumberFormat="1" applyFont="1"/>
    <xf numFmtId="0" fontId="3" fillId="0" borderId="35" xfId="0" applyFont="1" applyBorder="1"/>
    <xf numFmtId="0" fontId="3" fillId="0" borderId="37" xfId="0" applyFont="1" applyBorder="1"/>
    <xf numFmtId="0" fontId="3" fillId="0" borderId="0" xfId="0" applyFont="1" applyAlignment="1">
      <alignment horizontal="right"/>
    </xf>
    <xf numFmtId="0" fontId="3" fillId="0" borderId="0" xfId="0" applyFont="1" applyAlignment="1">
      <alignment horizontal="center" wrapText="1"/>
    </xf>
    <xf numFmtId="0" fontId="3" fillId="0" borderId="32" xfId="0" applyFont="1" applyBorder="1" applyAlignment="1">
      <alignment horizontal="left"/>
    </xf>
    <xf numFmtId="0" fontId="0" fillId="0" borderId="0" xfId="0" applyAlignment="1">
      <alignment horizontal="left" wrapText="1"/>
    </xf>
    <xf numFmtId="0" fontId="8" fillId="0" borderId="0" xfId="0" applyFont="1" applyAlignment="1">
      <alignment horizontal="center"/>
    </xf>
    <xf numFmtId="0" fontId="8" fillId="0" borderId="0" xfId="0" applyFont="1" applyAlignment="1">
      <alignment horizontal="left"/>
    </xf>
    <xf numFmtId="38" fontId="0" fillId="0" borderId="0" xfId="126" applyNumberFormat="1" applyFont="1"/>
    <xf numFmtId="9" fontId="0" fillId="0" borderId="0" xfId="0" applyNumberFormat="1"/>
    <xf numFmtId="179" fontId="3" fillId="12" borderId="0" xfId="0" applyNumberFormat="1" applyFont="1" applyFill="1"/>
    <xf numFmtId="171" fontId="3" fillId="12" borderId="33" xfId="0" applyNumberFormat="1" applyFont="1" applyFill="1" applyBorder="1"/>
    <xf numFmtId="180" fontId="25" fillId="3" borderId="0" xfId="5" applyNumberFormat="1" applyFont="1" applyFill="1"/>
    <xf numFmtId="180" fontId="25" fillId="3" borderId="1" xfId="5" applyNumberFormat="1" applyFont="1" applyFill="1" applyBorder="1"/>
    <xf numFmtId="43" fontId="0" fillId="0" borderId="0" xfId="0" applyNumberFormat="1"/>
    <xf numFmtId="181" fontId="0" fillId="0" borderId="0" xfId="126" applyNumberFormat="1" applyFont="1"/>
    <xf numFmtId="181" fontId="0" fillId="0" borderId="0" xfId="0" applyNumberFormat="1"/>
    <xf numFmtId="182" fontId="0" fillId="0" borderId="0" xfId="0" applyNumberFormat="1"/>
    <xf numFmtId="10" fontId="0" fillId="0" borderId="0" xfId="127" applyNumberFormat="1" applyFont="1"/>
    <xf numFmtId="183" fontId="0" fillId="0" borderId="0" xfId="0" applyNumberFormat="1"/>
    <xf numFmtId="164" fontId="1" fillId="0" borderId="0" xfId="0" applyNumberFormat="1" applyFont="1"/>
    <xf numFmtId="169" fontId="1" fillId="0" borderId="0" xfId="0" applyNumberFormat="1" applyFont="1"/>
    <xf numFmtId="8" fontId="1" fillId="0" borderId="0" xfId="0" applyNumberFormat="1" applyFont="1"/>
    <xf numFmtId="0" fontId="1" fillId="0" borderId="0" xfId="0" applyFont="1" applyAlignment="1">
      <alignment horizontal="center" wrapText="1"/>
    </xf>
    <xf numFmtId="8" fontId="1" fillId="2" borderId="0" xfId="0" applyNumberFormat="1" applyFont="1" applyFill="1"/>
    <xf numFmtId="0" fontId="0" fillId="0" borderId="0" xfId="0" applyAlignment="1">
      <alignment horizontal="center" wrapText="1"/>
    </xf>
    <xf numFmtId="8" fontId="1" fillId="0" borderId="1" xfId="0" applyNumberFormat="1" applyFont="1" applyBorder="1"/>
    <xf numFmtId="0" fontId="1" fillId="0" borderId="0" xfId="0" applyFont="1" applyAlignment="1">
      <alignment horizontal="right"/>
    </xf>
    <xf numFmtId="38" fontId="1" fillId="0" borderId="0" xfId="0" applyNumberFormat="1" applyFont="1"/>
    <xf numFmtId="38" fontId="1" fillId="0" borderId="0" xfId="0" applyNumberFormat="1" applyFont="1" applyAlignment="1">
      <alignment horizontal="center"/>
    </xf>
    <xf numFmtId="0" fontId="0" fillId="8" borderId="0" xfId="0" applyFill="1" applyAlignment="1">
      <alignment horizontal="center" wrapText="1"/>
    </xf>
    <xf numFmtId="8" fontId="1" fillId="8" borderId="0" xfId="0" applyNumberFormat="1" applyFont="1" applyFill="1"/>
    <xf numFmtId="169" fontId="0" fillId="0" borderId="0" xfId="0" applyNumberFormat="1" applyProtection="1">
      <protection locked="0"/>
    </xf>
    <xf numFmtId="0" fontId="0" fillId="0" borderId="0" xfId="0" applyProtection="1">
      <protection locked="0"/>
    </xf>
    <xf numFmtId="8" fontId="0" fillId="0" borderId="0" xfId="0" applyNumberFormat="1" applyProtection="1">
      <protection locked="0"/>
    </xf>
    <xf numFmtId="0" fontId="0" fillId="0" borderId="1" xfId="0" applyBorder="1"/>
    <xf numFmtId="0" fontId="53" fillId="0" borderId="0" xfId="0" applyFont="1" applyProtection="1">
      <protection locked="0"/>
    </xf>
    <xf numFmtId="10" fontId="53" fillId="0" borderId="0" xfId="0" applyNumberFormat="1" applyFont="1" applyProtection="1">
      <protection locked="0"/>
    </xf>
    <xf numFmtId="179" fontId="53" fillId="46" borderId="0" xfId="0" applyNumberFormat="1" applyFont="1" applyFill="1" applyProtection="1">
      <protection locked="0"/>
    </xf>
    <xf numFmtId="171" fontId="53" fillId="46" borderId="0" xfId="0" applyNumberFormat="1" applyFont="1" applyFill="1" applyProtection="1">
      <protection locked="0"/>
    </xf>
    <xf numFmtId="38" fontId="53" fillId="46" borderId="0" xfId="0" applyNumberFormat="1" applyFont="1" applyFill="1" applyProtection="1">
      <protection locked="0"/>
    </xf>
    <xf numFmtId="185" fontId="53" fillId="46" borderId="0" xfId="0" applyNumberFormat="1" applyFont="1" applyFill="1" applyProtection="1">
      <protection locked="0"/>
    </xf>
    <xf numFmtId="184" fontId="53" fillId="46" borderId="0" xfId="0" applyNumberFormat="1" applyFont="1" applyFill="1" applyProtection="1">
      <protection locked="0"/>
    </xf>
    <xf numFmtId="40" fontId="53" fillId="46" borderId="0" xfId="0" applyNumberFormat="1" applyFont="1" applyFill="1" applyProtection="1">
      <protection locked="0"/>
    </xf>
    <xf numFmtId="8" fontId="53" fillId="46" borderId="0" xfId="0" applyNumberFormat="1" applyFont="1" applyFill="1" applyProtection="1">
      <protection locked="0"/>
    </xf>
    <xf numFmtId="179" fontId="0" fillId="0" borderId="0" xfId="0" applyNumberFormat="1" applyProtection="1">
      <protection locked="0"/>
    </xf>
    <xf numFmtId="177" fontId="0" fillId="0" borderId="0" xfId="126" applyNumberFormat="1" applyFont="1" applyFill="1"/>
    <xf numFmtId="0" fontId="0" fillId="0" borderId="0" xfId="0" applyAlignment="1">
      <alignment horizontal="left"/>
    </xf>
    <xf numFmtId="186" fontId="0" fillId="0" borderId="0" xfId="0" applyNumberFormat="1"/>
    <xf numFmtId="167" fontId="4" fillId="0" borderId="0" xfId="1" quotePrefix="1" applyNumberFormat="1" applyFont="1" applyAlignment="1">
      <alignment horizontal="centerContinuous"/>
    </xf>
    <xf numFmtId="174" fontId="3" fillId="12" borderId="40" xfId="0" quotePrefix="1" applyNumberFormat="1" applyFont="1" applyFill="1" applyBorder="1"/>
    <xf numFmtId="164" fontId="0" fillId="12" borderId="0" xfId="127" applyNumberFormat="1" applyFont="1" applyFill="1"/>
    <xf numFmtId="17" fontId="0" fillId="0" borderId="0" xfId="0" applyNumberFormat="1" applyAlignment="1">
      <alignment horizontal="left"/>
    </xf>
    <xf numFmtId="0" fontId="0" fillId="0" borderId="15" xfId="0" applyBorder="1"/>
    <xf numFmtId="177" fontId="0" fillId="0" borderId="16" xfId="126" applyNumberFormat="1" applyFont="1" applyBorder="1"/>
    <xf numFmtId="0" fontId="0" fillId="0" borderId="16" xfId="0" applyBorder="1"/>
    <xf numFmtId="164" fontId="0" fillId="0" borderId="16" xfId="0" applyNumberFormat="1" applyBorder="1"/>
    <xf numFmtId="164" fontId="0" fillId="0" borderId="17" xfId="0" applyNumberFormat="1" applyBorder="1"/>
    <xf numFmtId="3" fontId="0" fillId="0" borderId="0" xfId="0" applyNumberFormat="1"/>
    <xf numFmtId="179" fontId="1" fillId="2" borderId="0" xfId="0" applyNumberFormat="1" applyFont="1" applyFill="1"/>
    <xf numFmtId="0" fontId="0" fillId="2" borderId="0" xfId="0" quotePrefix="1" applyFill="1"/>
    <xf numFmtId="0" fontId="12" fillId="0" borderId="15" xfId="0" applyFont="1" applyBorder="1" applyAlignment="1">
      <alignment wrapText="1"/>
    </xf>
    <xf numFmtId="0" fontId="13" fillId="0" borderId="16" xfId="0" applyFont="1" applyBorder="1" applyAlignment="1">
      <alignment wrapText="1"/>
    </xf>
    <xf numFmtId="0" fontId="13" fillId="0" borderId="17" xfId="0" applyFont="1" applyBorder="1" applyAlignment="1">
      <alignment wrapText="1"/>
    </xf>
    <xf numFmtId="167" fontId="15" fillId="0" borderId="0" xfId="0" applyNumberFormat="1" applyFont="1" applyAlignment="1">
      <alignment horizontal="left" wrapText="1"/>
    </xf>
    <xf numFmtId="0" fontId="0" fillId="0" borderId="0" xfId="0" applyAlignment="1">
      <alignment wrapText="1"/>
    </xf>
    <xf numFmtId="167" fontId="14" fillId="0" borderId="0" xfId="0" applyNumberFormat="1" applyFont="1" applyAlignment="1">
      <alignment horizontal="center"/>
    </xf>
    <xf numFmtId="0" fontId="19" fillId="0" borderId="0" xfId="0" applyFont="1" applyAlignment="1">
      <alignment horizontal="center"/>
    </xf>
  </cellXfs>
  <cellStyles count="128">
    <cellStyle name="20% - Accent1" xfId="25" builtinId="30" customBuiltin="1"/>
    <cellStyle name="20% - Accent1 2" xfId="62" xr:uid="{00000000-0005-0000-0000-000001000000}"/>
    <cellStyle name="20% - Accent1 3" xfId="76" xr:uid="{00000000-0005-0000-0000-000002000000}"/>
    <cellStyle name="20% - Accent1 4" xfId="92" xr:uid="{00000000-0005-0000-0000-000003000000}"/>
    <cellStyle name="20% - Accent1 5" xfId="106" xr:uid="{00000000-0005-0000-0000-000004000000}"/>
    <cellStyle name="20% - Accent2" xfId="29" builtinId="34" customBuiltin="1"/>
    <cellStyle name="20% - Accent2 2" xfId="64" xr:uid="{00000000-0005-0000-0000-000006000000}"/>
    <cellStyle name="20% - Accent2 3" xfId="78" xr:uid="{00000000-0005-0000-0000-000007000000}"/>
    <cellStyle name="20% - Accent2 4" xfId="94" xr:uid="{00000000-0005-0000-0000-000008000000}"/>
    <cellStyle name="20% - Accent2 5" xfId="108" xr:uid="{00000000-0005-0000-0000-000009000000}"/>
    <cellStyle name="20% - Accent3" xfId="33" builtinId="38" customBuiltin="1"/>
    <cellStyle name="20% - Accent3 2" xfId="66" xr:uid="{00000000-0005-0000-0000-00000B000000}"/>
    <cellStyle name="20% - Accent3 3" xfId="80" xr:uid="{00000000-0005-0000-0000-00000C000000}"/>
    <cellStyle name="20% - Accent3 4" xfId="96" xr:uid="{00000000-0005-0000-0000-00000D000000}"/>
    <cellStyle name="20% - Accent3 5" xfId="110" xr:uid="{00000000-0005-0000-0000-00000E000000}"/>
    <cellStyle name="20% - Accent4" xfId="37" builtinId="42" customBuiltin="1"/>
    <cellStyle name="20% - Accent4 2" xfId="68" xr:uid="{00000000-0005-0000-0000-000010000000}"/>
    <cellStyle name="20% - Accent4 3" xfId="82" xr:uid="{00000000-0005-0000-0000-000011000000}"/>
    <cellStyle name="20% - Accent4 4" xfId="98" xr:uid="{00000000-0005-0000-0000-000012000000}"/>
    <cellStyle name="20% - Accent4 5" xfId="112" xr:uid="{00000000-0005-0000-0000-000013000000}"/>
    <cellStyle name="20% - Accent5" xfId="41" builtinId="46" customBuiltin="1"/>
    <cellStyle name="20% - Accent5 2" xfId="70" xr:uid="{00000000-0005-0000-0000-000015000000}"/>
    <cellStyle name="20% - Accent5 3" xfId="84" xr:uid="{00000000-0005-0000-0000-000016000000}"/>
    <cellStyle name="20% - Accent5 4" xfId="100" xr:uid="{00000000-0005-0000-0000-000017000000}"/>
    <cellStyle name="20% - Accent5 5" xfId="114" xr:uid="{00000000-0005-0000-0000-000018000000}"/>
    <cellStyle name="20% - Accent6" xfId="45" builtinId="50" customBuiltin="1"/>
    <cellStyle name="20% - Accent6 2" xfId="72" xr:uid="{00000000-0005-0000-0000-00001A000000}"/>
    <cellStyle name="20% - Accent6 3" xfId="86" xr:uid="{00000000-0005-0000-0000-00001B000000}"/>
    <cellStyle name="20% - Accent6 4" xfId="102" xr:uid="{00000000-0005-0000-0000-00001C000000}"/>
    <cellStyle name="20% - Accent6 5" xfId="116" xr:uid="{00000000-0005-0000-0000-00001D000000}"/>
    <cellStyle name="40% - Accent1" xfId="26" builtinId="31" customBuiltin="1"/>
    <cellStyle name="40% - Accent1 2" xfId="63" xr:uid="{00000000-0005-0000-0000-00001F000000}"/>
    <cellStyle name="40% - Accent1 3" xfId="77" xr:uid="{00000000-0005-0000-0000-000020000000}"/>
    <cellStyle name="40% - Accent1 4" xfId="93" xr:uid="{00000000-0005-0000-0000-000021000000}"/>
    <cellStyle name="40% - Accent1 5" xfId="107" xr:uid="{00000000-0005-0000-0000-000022000000}"/>
    <cellStyle name="40% - Accent2" xfId="30" builtinId="35" customBuiltin="1"/>
    <cellStyle name="40% - Accent2 2" xfId="65" xr:uid="{00000000-0005-0000-0000-000024000000}"/>
    <cellStyle name="40% - Accent2 3" xfId="79" xr:uid="{00000000-0005-0000-0000-000025000000}"/>
    <cellStyle name="40% - Accent2 4" xfId="95" xr:uid="{00000000-0005-0000-0000-000026000000}"/>
    <cellStyle name="40% - Accent2 5" xfId="109" xr:uid="{00000000-0005-0000-0000-000027000000}"/>
    <cellStyle name="40% - Accent3" xfId="34" builtinId="39" customBuiltin="1"/>
    <cellStyle name="40% - Accent3 2" xfId="67" xr:uid="{00000000-0005-0000-0000-000029000000}"/>
    <cellStyle name="40% - Accent3 3" xfId="81" xr:uid="{00000000-0005-0000-0000-00002A000000}"/>
    <cellStyle name="40% - Accent3 4" xfId="97" xr:uid="{00000000-0005-0000-0000-00002B000000}"/>
    <cellStyle name="40% - Accent3 5" xfId="111" xr:uid="{00000000-0005-0000-0000-00002C000000}"/>
    <cellStyle name="40% - Accent4" xfId="38" builtinId="43" customBuiltin="1"/>
    <cellStyle name="40% - Accent4 2" xfId="69" xr:uid="{00000000-0005-0000-0000-00002E000000}"/>
    <cellStyle name="40% - Accent4 3" xfId="83" xr:uid="{00000000-0005-0000-0000-00002F000000}"/>
    <cellStyle name="40% - Accent4 4" xfId="99" xr:uid="{00000000-0005-0000-0000-000030000000}"/>
    <cellStyle name="40% - Accent4 5" xfId="113" xr:uid="{00000000-0005-0000-0000-000031000000}"/>
    <cellStyle name="40% - Accent5" xfId="42" builtinId="47" customBuiltin="1"/>
    <cellStyle name="40% - Accent5 2" xfId="71" xr:uid="{00000000-0005-0000-0000-000033000000}"/>
    <cellStyle name="40% - Accent5 3" xfId="85" xr:uid="{00000000-0005-0000-0000-000034000000}"/>
    <cellStyle name="40% - Accent5 4" xfId="101" xr:uid="{00000000-0005-0000-0000-000035000000}"/>
    <cellStyle name="40% - Accent5 5" xfId="115" xr:uid="{00000000-0005-0000-0000-000036000000}"/>
    <cellStyle name="40% - Accent6" xfId="46" builtinId="51" customBuiltin="1"/>
    <cellStyle name="40% - Accent6 2" xfId="73" xr:uid="{00000000-0005-0000-0000-000038000000}"/>
    <cellStyle name="40% - Accent6 3" xfId="87" xr:uid="{00000000-0005-0000-0000-000039000000}"/>
    <cellStyle name="40% - Accent6 4" xfId="103" xr:uid="{00000000-0005-0000-0000-00003A000000}"/>
    <cellStyle name="40% - Accent6 5" xfId="117" xr:uid="{00000000-0005-0000-0000-00003B000000}"/>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26" builtinId="3"/>
    <cellStyle name="Comma 2" xfId="3" xr:uid="{00000000-0005-0000-0000-00004C000000}"/>
    <cellStyle name="Comma 2 2" xfId="51" xr:uid="{00000000-0005-0000-0000-00004D000000}"/>
    <cellStyle name="ContentsHyperlink" xfId="48" xr:uid="{00000000-0005-0000-0000-00004E000000}"/>
    <cellStyle name="Currency 2" xfId="49" xr:uid="{00000000-0005-0000-0000-00004F000000}"/>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118" xr:uid="{00000000-0005-0000-0000-000056000000}"/>
    <cellStyle name="Hyperlink 2 2" xfId="122" xr:uid="{00000000-0005-0000-0000-000057000000}"/>
    <cellStyle name="Hyperlink 3" xfId="124" xr:uid="{00000000-0005-0000-0000-000058000000}"/>
    <cellStyle name="Hyperlink 4" xfId="125" xr:uid="{00000000-0005-0000-0000-000059000000}"/>
    <cellStyle name="Input" xfId="15" builtinId="20" customBuiltin="1"/>
    <cellStyle name="Linked Cell" xfId="18" builtinId="24" customBuiltin="1"/>
    <cellStyle name="Neutral" xfId="14" builtinId="28" customBuiltin="1"/>
    <cellStyle name="Normal" xfId="0" builtinId="0"/>
    <cellStyle name="Normal 10" xfId="104" xr:uid="{00000000-0005-0000-0000-00005E000000}"/>
    <cellStyle name="Normal 2" xfId="1" xr:uid="{00000000-0005-0000-0000-00005F000000}"/>
    <cellStyle name="Normal 2 2" xfId="2" xr:uid="{00000000-0005-0000-0000-000060000000}"/>
    <cellStyle name="Normal 2 2 2" xfId="88" xr:uid="{00000000-0005-0000-0000-000061000000}"/>
    <cellStyle name="Normal 2 3" xfId="6" xr:uid="{00000000-0005-0000-0000-000062000000}"/>
    <cellStyle name="Normal 2 3 2" xfId="53" xr:uid="{00000000-0005-0000-0000-000063000000}"/>
    <cellStyle name="Normal 3" xfId="5" xr:uid="{00000000-0005-0000-0000-000064000000}"/>
    <cellStyle name="Normal 3 2" xfId="89" xr:uid="{00000000-0005-0000-0000-000065000000}"/>
    <cellStyle name="Normal 3 2 2" xfId="121" xr:uid="{00000000-0005-0000-0000-000066000000}"/>
    <cellStyle name="Normal 3 3" xfId="54" xr:uid="{00000000-0005-0000-0000-000067000000}"/>
    <cellStyle name="Normal 3 4" xfId="120" xr:uid="{00000000-0005-0000-0000-000068000000}"/>
    <cellStyle name="Normal 3 5" xfId="50" xr:uid="{00000000-0005-0000-0000-000069000000}"/>
    <cellStyle name="Normal 4" xfId="55" xr:uid="{00000000-0005-0000-0000-00006A000000}"/>
    <cellStyle name="Normal 4 2" xfId="123" xr:uid="{00000000-0005-0000-0000-00006B000000}"/>
    <cellStyle name="Normal 5" xfId="56" xr:uid="{00000000-0005-0000-0000-00006C000000}"/>
    <cellStyle name="Normal 6" xfId="58" xr:uid="{00000000-0005-0000-0000-00006D000000}"/>
    <cellStyle name="Normal 7" xfId="60" xr:uid="{00000000-0005-0000-0000-00006E000000}"/>
    <cellStyle name="Normal 8" xfId="74" xr:uid="{00000000-0005-0000-0000-00006F000000}"/>
    <cellStyle name="Normal 9" xfId="90" xr:uid="{00000000-0005-0000-0000-000070000000}"/>
    <cellStyle name="Note" xfId="21" builtinId="10" customBuiltin="1"/>
    <cellStyle name="Note 2" xfId="59" xr:uid="{00000000-0005-0000-0000-000072000000}"/>
    <cellStyle name="Note 3" xfId="61" xr:uid="{00000000-0005-0000-0000-000073000000}"/>
    <cellStyle name="Note 4" xfId="75" xr:uid="{00000000-0005-0000-0000-000074000000}"/>
    <cellStyle name="Note 5" xfId="91" xr:uid="{00000000-0005-0000-0000-000075000000}"/>
    <cellStyle name="Note 6" xfId="105" xr:uid="{00000000-0005-0000-0000-000076000000}"/>
    <cellStyle name="Output" xfId="16" builtinId="21" customBuiltin="1"/>
    <cellStyle name="Percent" xfId="127" builtinId="5"/>
    <cellStyle name="Percent 2" xfId="4" xr:uid="{00000000-0005-0000-0000-000079000000}"/>
    <cellStyle name="Percent 2 2" xfId="57" xr:uid="{00000000-0005-0000-0000-00007A000000}"/>
    <cellStyle name="Percent 3" xfId="52" xr:uid="{00000000-0005-0000-0000-00007B000000}"/>
    <cellStyle name="Title" xfId="7" builtinId="15" customBuiltin="1"/>
    <cellStyle name="Title 2" xfId="119" xr:uid="{00000000-0005-0000-0000-00007D000000}"/>
    <cellStyle name="Total" xfId="23" builtinId="25" customBuiltin="1"/>
    <cellStyle name="Warning Text" xfId="20" builtinId="11" customBuiltin="1"/>
  </cellStyles>
  <dxfs count="13">
    <dxf>
      <fill>
        <patternFill>
          <bgColor theme="6" tint="0.79998168889431442"/>
        </patternFill>
      </fill>
    </dxf>
    <dxf>
      <fill>
        <patternFill>
          <bgColor theme="5" tint="0.59996337778862885"/>
        </patternFill>
      </fill>
    </dxf>
    <dxf>
      <fill>
        <patternFill>
          <bgColor theme="6" tint="0.79998168889431442"/>
        </patternFill>
      </fill>
    </dxf>
    <dxf>
      <fill>
        <patternFill>
          <bgColor theme="1"/>
        </patternFill>
      </fill>
    </dxf>
    <dxf>
      <fill>
        <patternFill>
          <bgColor theme="5" tint="0.59996337778862885"/>
        </patternFill>
      </fill>
    </dxf>
    <dxf>
      <fill>
        <patternFill>
          <bgColor theme="5" tint="0.59996337778862885"/>
        </patternFill>
      </fill>
    </dxf>
    <dxf>
      <fill>
        <patternFill>
          <bgColor theme="6" tint="0.79998168889431442"/>
        </patternFill>
      </fill>
    </dxf>
    <dxf>
      <fill>
        <patternFill>
          <bgColor theme="1"/>
        </patternFill>
      </fill>
    </dxf>
    <dxf>
      <font>
        <color auto="1"/>
      </font>
    </dxf>
    <dxf>
      <font>
        <color auto="1"/>
      </font>
    </dxf>
    <dxf>
      <font>
        <color auto="1"/>
      </font>
    </dxf>
    <dxf>
      <font>
        <color auto="1"/>
      </font>
    </dxf>
    <dxf>
      <font>
        <b/>
        <i val="0"/>
        <color auto="1"/>
      </font>
    </dxf>
  </dxfs>
  <tableStyles count="0" defaultTableStyle="TableStyleMedium2" defaultPivotStyle="PivotStyleLight16"/>
  <colors>
    <mruColors>
      <color rgb="FFFF66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105.5703125" customWidth="1"/>
  </cols>
  <sheetData>
    <row r="1" spans="1:1" ht="213.75" x14ac:dyDescent="0.25">
      <c r="A1" s="40" t="s">
        <v>78</v>
      </c>
    </row>
  </sheetData>
  <sheetProtection algorithmName="SHA-512" hashValue="kaWbGpZCWzsANG9GKGjoNoealRl8GGnbU+pM/Ie0snVQbmVWoZX8PRw2QHbyIQxucNSW3MCS1MBI+JddxrdYkA==" saltValue="0YNiqX91lp0HjCLV581pOQ==" spinCount="100000" sheet="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39997558519241921"/>
  </sheetPr>
  <dimension ref="A1:Q137"/>
  <sheetViews>
    <sheetView topLeftCell="A110" workbookViewId="0">
      <selection activeCell="A140" sqref="A140:B140"/>
    </sheetView>
  </sheetViews>
  <sheetFormatPr defaultRowHeight="15" x14ac:dyDescent="0.25"/>
  <cols>
    <col min="1" max="1" width="25.5703125" customWidth="1"/>
    <col min="2" max="2" width="20.5703125" customWidth="1"/>
    <col min="5" max="5" width="22" customWidth="1"/>
    <col min="6" max="6" width="10.42578125" customWidth="1"/>
  </cols>
  <sheetData>
    <row r="1" spans="1:5" ht="75" x14ac:dyDescent="0.25">
      <c r="A1" s="20" t="s">
        <v>0</v>
      </c>
      <c r="B1" s="20" t="s">
        <v>135</v>
      </c>
      <c r="E1" s="4"/>
    </row>
    <row r="2" spans="1:5" hidden="1" x14ac:dyDescent="0.25">
      <c r="A2" s="15">
        <v>42278</v>
      </c>
      <c r="B2" s="25">
        <v>0.30533199999999999</v>
      </c>
      <c r="D2" s="216" t="s">
        <v>216</v>
      </c>
      <c r="E2" s="25"/>
    </row>
    <row r="3" spans="1:5" hidden="1" x14ac:dyDescent="0.25">
      <c r="A3" s="15">
        <v>42309</v>
      </c>
      <c r="B3" s="25">
        <v>0.291993</v>
      </c>
      <c r="D3" s="25"/>
      <c r="E3" s="25"/>
    </row>
    <row r="4" spans="1:5" hidden="1" x14ac:dyDescent="0.25">
      <c r="A4" s="15">
        <v>42339</v>
      </c>
      <c r="B4" s="25">
        <v>0.245638</v>
      </c>
      <c r="D4" s="25"/>
    </row>
    <row r="5" spans="1:5" hidden="1" x14ac:dyDescent="0.25">
      <c r="A5" s="15">
        <v>42370</v>
      </c>
      <c r="B5" s="25">
        <v>0.28391100000000002</v>
      </c>
      <c r="D5" s="25"/>
    </row>
    <row r="6" spans="1:5" hidden="1" x14ac:dyDescent="0.25">
      <c r="A6" s="15">
        <v>42401</v>
      </c>
      <c r="B6" s="25">
        <v>0.261324</v>
      </c>
      <c r="D6" s="25"/>
    </row>
    <row r="7" spans="1:5" hidden="1" x14ac:dyDescent="0.25">
      <c r="A7" s="15">
        <v>42430</v>
      </c>
      <c r="B7" s="25">
        <v>0.27588800000000002</v>
      </c>
      <c r="D7" s="25"/>
    </row>
    <row r="8" spans="1:5" hidden="1" x14ac:dyDescent="0.25">
      <c r="A8" s="15">
        <v>42461</v>
      </c>
      <c r="B8" s="25">
        <v>0.26678499999999999</v>
      </c>
      <c r="D8" s="25"/>
    </row>
    <row r="9" spans="1:5" hidden="1" x14ac:dyDescent="0.25">
      <c r="A9" s="15">
        <v>42491</v>
      </c>
      <c r="B9" s="25">
        <v>0.25852199999999997</v>
      </c>
      <c r="D9" s="25"/>
    </row>
    <row r="10" spans="1:5" hidden="1" x14ac:dyDescent="0.25">
      <c r="A10" s="15">
        <v>42522</v>
      </c>
      <c r="B10" s="25">
        <v>0.20880000000000001</v>
      </c>
      <c r="D10" s="25"/>
    </row>
    <row r="11" spans="1:5" hidden="1" x14ac:dyDescent="0.25">
      <c r="A11" s="15">
        <v>42552</v>
      </c>
      <c r="B11" s="25">
        <v>0.20453099999999999</v>
      </c>
      <c r="D11" s="25"/>
    </row>
    <row r="12" spans="1:5" hidden="1" x14ac:dyDescent="0.25">
      <c r="A12" s="15">
        <v>42583</v>
      </c>
      <c r="B12" s="25">
        <v>0.21943199999999999</v>
      </c>
      <c r="D12" s="25"/>
    </row>
    <row r="13" spans="1:5" hidden="1" x14ac:dyDescent="0.25">
      <c r="A13" s="15">
        <v>42614</v>
      </c>
      <c r="B13" s="25">
        <v>0.229134</v>
      </c>
      <c r="D13" s="25"/>
    </row>
    <row r="14" spans="1:5" hidden="1" x14ac:dyDescent="0.25">
      <c r="A14" s="15">
        <v>42644</v>
      </c>
      <c r="B14" s="25">
        <v>0.182896</v>
      </c>
      <c r="D14" s="25"/>
    </row>
    <row r="15" spans="1:5" hidden="1" x14ac:dyDescent="0.25">
      <c r="A15" s="15">
        <v>42675</v>
      </c>
      <c r="B15" s="25">
        <v>0.16356200000000001</v>
      </c>
      <c r="D15" s="25"/>
    </row>
    <row r="16" spans="1:5" hidden="1" x14ac:dyDescent="0.25">
      <c r="A16" s="15">
        <v>42705</v>
      </c>
      <c r="B16" s="25">
        <v>0.21603600000000001</v>
      </c>
      <c r="D16" s="25"/>
    </row>
    <row r="17" spans="1:4" hidden="1" x14ac:dyDescent="0.25">
      <c r="A17" s="15">
        <v>42736</v>
      </c>
      <c r="B17" s="25">
        <v>0.191916</v>
      </c>
      <c r="D17" s="25"/>
    </row>
    <row r="18" spans="1:4" hidden="1" x14ac:dyDescent="0.25">
      <c r="A18" s="15">
        <v>42767</v>
      </c>
      <c r="B18" s="25">
        <v>0.22883700000000001</v>
      </c>
      <c r="D18" s="25"/>
    </row>
    <row r="19" spans="1:4" hidden="1" x14ac:dyDescent="0.25">
      <c r="A19" s="15">
        <v>42795</v>
      </c>
      <c r="B19" s="25">
        <v>0.221411</v>
      </c>
      <c r="D19" s="25"/>
    </row>
    <row r="20" spans="1:4" hidden="1" x14ac:dyDescent="0.25">
      <c r="A20" s="15">
        <v>42826</v>
      </c>
      <c r="B20" s="25">
        <v>0.21291299999999999</v>
      </c>
      <c r="D20" s="25"/>
    </row>
    <row r="21" spans="1:4" hidden="1" x14ac:dyDescent="0.25">
      <c r="A21" s="15">
        <v>42856</v>
      </c>
      <c r="B21" s="25">
        <v>0.211672</v>
      </c>
      <c r="D21" s="25"/>
    </row>
    <row r="22" spans="1:4" hidden="1" x14ac:dyDescent="0.25">
      <c r="A22" s="15">
        <v>42887</v>
      </c>
      <c r="B22" s="25">
        <v>0.19661999999999999</v>
      </c>
      <c r="D22" s="25"/>
    </row>
    <row r="23" spans="1:4" hidden="1" x14ac:dyDescent="0.25">
      <c r="A23" s="15">
        <v>42917</v>
      </c>
      <c r="B23" s="25">
        <v>0.191581</v>
      </c>
      <c r="D23" s="25"/>
    </row>
    <row r="24" spans="1:4" hidden="1" x14ac:dyDescent="0.25">
      <c r="A24" s="15">
        <v>42948</v>
      </c>
      <c r="B24" s="25">
        <v>0.210429</v>
      </c>
      <c r="D24" s="25"/>
    </row>
    <row r="25" spans="1:4" hidden="1" x14ac:dyDescent="0.25">
      <c r="A25" s="15">
        <v>42979</v>
      </c>
      <c r="B25" s="25">
        <v>0.236261</v>
      </c>
      <c r="D25" s="25"/>
    </row>
    <row r="26" spans="1:4" hidden="1" x14ac:dyDescent="0.25">
      <c r="A26" s="15">
        <v>43009</v>
      </c>
      <c r="B26" s="25">
        <v>0.17718300000000001</v>
      </c>
      <c r="D26" s="25"/>
    </row>
    <row r="27" spans="1:4" hidden="1" x14ac:dyDescent="0.25">
      <c r="A27" s="15">
        <v>43040</v>
      </c>
      <c r="B27" s="25">
        <v>0.21789600000000001</v>
      </c>
      <c r="D27" s="25"/>
    </row>
    <row r="28" spans="1:4" hidden="1" x14ac:dyDescent="0.25">
      <c r="A28" s="15">
        <v>43070</v>
      </c>
      <c r="B28" s="25">
        <v>0.24127499999999999</v>
      </c>
      <c r="D28" s="25"/>
    </row>
    <row r="29" spans="1:4" hidden="1" x14ac:dyDescent="0.25">
      <c r="A29" s="15">
        <v>43101</v>
      </c>
      <c r="B29" s="25">
        <v>0.2137</v>
      </c>
      <c r="D29" s="25"/>
    </row>
    <row r="30" spans="1:4" hidden="1" x14ac:dyDescent="0.25">
      <c r="A30" s="15">
        <v>43132</v>
      </c>
      <c r="B30" s="25">
        <v>0.21845999999999999</v>
      </c>
      <c r="D30" s="25"/>
    </row>
    <row r="31" spans="1:4" hidden="1" x14ac:dyDescent="0.25">
      <c r="A31" s="15">
        <v>43160</v>
      </c>
      <c r="B31" s="25">
        <v>0.20913200000000001</v>
      </c>
      <c r="D31" s="25"/>
    </row>
    <row r="32" spans="1:4" hidden="1" x14ac:dyDescent="0.25">
      <c r="A32" s="15">
        <v>43191</v>
      </c>
      <c r="B32" s="25">
        <v>0.18951999999999999</v>
      </c>
      <c r="D32" s="25"/>
    </row>
    <row r="33" spans="1:6" hidden="1" x14ac:dyDescent="0.25">
      <c r="A33" s="15">
        <v>43221</v>
      </c>
      <c r="B33" s="25">
        <v>0.185444</v>
      </c>
      <c r="D33" s="25"/>
    </row>
    <row r="34" spans="1:6" hidden="1" x14ac:dyDescent="0.25">
      <c r="A34" s="15">
        <v>43252</v>
      </c>
      <c r="B34" s="25">
        <v>0.180114</v>
      </c>
      <c r="D34" s="25"/>
    </row>
    <row r="35" spans="1:6" hidden="1" x14ac:dyDescent="0.25">
      <c r="A35" s="15">
        <v>43282</v>
      </c>
      <c r="B35" s="25">
        <v>0.17179700000000001</v>
      </c>
      <c r="D35" s="25"/>
    </row>
    <row r="36" spans="1:6" hidden="1" x14ac:dyDescent="0.25">
      <c r="A36" s="15">
        <v>43313</v>
      </c>
      <c r="B36" s="25">
        <v>0.20078299999999999</v>
      </c>
      <c r="D36" s="25"/>
      <c r="E36" s="95"/>
      <c r="F36" s="25"/>
    </row>
    <row r="37" spans="1:6" hidden="1" x14ac:dyDescent="0.25">
      <c r="A37" s="15">
        <v>43344</v>
      </c>
      <c r="B37" s="25">
        <v>0.19520000000000001</v>
      </c>
      <c r="D37" s="25"/>
      <c r="E37" s="95"/>
      <c r="F37" s="25"/>
    </row>
    <row r="38" spans="1:6" hidden="1" x14ac:dyDescent="0.25">
      <c r="A38" s="15">
        <v>43374</v>
      </c>
      <c r="B38" s="25">
        <v>0.118899</v>
      </c>
      <c r="D38" s="25"/>
      <c r="E38" s="95"/>
      <c r="F38" s="25"/>
    </row>
    <row r="39" spans="1:6" hidden="1" x14ac:dyDescent="0.25">
      <c r="A39" s="15">
        <v>43405</v>
      </c>
      <c r="B39" s="25">
        <v>0.16769200000000001</v>
      </c>
      <c r="D39" s="25"/>
      <c r="E39" s="95"/>
      <c r="F39" s="25"/>
    </row>
    <row r="40" spans="1:6" hidden="1" x14ac:dyDescent="0.25">
      <c r="A40" s="15">
        <v>43435</v>
      </c>
      <c r="B40" s="25">
        <v>0.12795599999999999</v>
      </c>
      <c r="D40" s="25"/>
      <c r="E40" s="95"/>
      <c r="F40" s="25"/>
    </row>
    <row r="41" spans="1:6" hidden="1" x14ac:dyDescent="0.25">
      <c r="A41" s="15">
        <v>43466</v>
      </c>
      <c r="B41" s="25">
        <v>0.17980299999999999</v>
      </c>
      <c r="D41" s="25"/>
      <c r="E41" s="95"/>
      <c r="F41" s="25"/>
    </row>
    <row r="42" spans="1:6" hidden="1" x14ac:dyDescent="0.25">
      <c r="A42" s="15">
        <v>43497</v>
      </c>
      <c r="B42" s="25">
        <v>0.19983300000000001</v>
      </c>
      <c r="D42" s="25"/>
      <c r="E42" s="95"/>
      <c r="F42" s="25"/>
    </row>
    <row r="43" spans="1:6" hidden="1" x14ac:dyDescent="0.25">
      <c r="A43" s="15">
        <v>43525</v>
      </c>
      <c r="B43" s="25">
        <v>0.19770399999999999</v>
      </c>
      <c r="D43" s="25"/>
      <c r="E43" s="95"/>
      <c r="F43" s="25"/>
    </row>
    <row r="44" spans="1:6" hidden="1" x14ac:dyDescent="0.25">
      <c r="A44" s="15">
        <v>43556</v>
      </c>
      <c r="B44" s="25">
        <v>0.192409</v>
      </c>
      <c r="D44" s="25"/>
      <c r="E44" s="95"/>
      <c r="F44" s="25"/>
    </row>
    <row r="45" spans="1:6" hidden="1" x14ac:dyDescent="0.25">
      <c r="A45" s="15">
        <v>43586</v>
      </c>
      <c r="B45" s="25">
        <v>0.17879999999999999</v>
      </c>
      <c r="D45" s="25"/>
      <c r="E45" s="95"/>
      <c r="F45" s="25"/>
    </row>
    <row r="46" spans="1:6" hidden="1" x14ac:dyDescent="0.25">
      <c r="A46" s="15">
        <v>43617</v>
      </c>
      <c r="B46" s="25">
        <v>0.13753799999999999</v>
      </c>
      <c r="D46" s="25"/>
      <c r="E46" s="95"/>
      <c r="F46" s="25"/>
    </row>
    <row r="47" spans="1:6" hidden="1" x14ac:dyDescent="0.25">
      <c r="A47" s="15">
        <v>43647</v>
      </c>
      <c r="B47" s="25">
        <v>0.15816</v>
      </c>
      <c r="D47" s="25"/>
      <c r="E47" s="95"/>
      <c r="F47" s="25"/>
    </row>
    <row r="48" spans="1:6" hidden="1" x14ac:dyDescent="0.25">
      <c r="A48" s="15">
        <v>43678</v>
      </c>
      <c r="B48" s="25">
        <v>0.158776</v>
      </c>
      <c r="D48" s="25"/>
      <c r="E48" s="95"/>
      <c r="F48" s="25"/>
    </row>
    <row r="49" spans="1:6" hidden="1" x14ac:dyDescent="0.25">
      <c r="A49" s="15">
        <v>43709</v>
      </c>
      <c r="B49" s="25">
        <v>0.170652</v>
      </c>
      <c r="D49" s="25"/>
      <c r="E49" s="95"/>
      <c r="F49" s="25"/>
    </row>
    <row r="50" spans="1:6" hidden="1" x14ac:dyDescent="0.25">
      <c r="A50" s="15">
        <v>43739</v>
      </c>
      <c r="B50" s="25">
        <v>0.183697</v>
      </c>
      <c r="D50" s="25"/>
      <c r="E50" s="95"/>
      <c r="F50" s="25"/>
    </row>
    <row r="51" spans="1:6" hidden="1" x14ac:dyDescent="0.25">
      <c r="A51" s="15">
        <v>43770</v>
      </c>
      <c r="B51" s="25">
        <v>0.13302600000000001</v>
      </c>
      <c r="D51" s="25"/>
      <c r="E51" s="95"/>
      <c r="F51" s="25"/>
    </row>
    <row r="52" spans="1:6" hidden="1" x14ac:dyDescent="0.25">
      <c r="A52" s="15">
        <v>43800</v>
      </c>
      <c r="B52" s="25">
        <v>0.17793600000000001</v>
      </c>
      <c r="D52" s="25"/>
      <c r="E52" s="95"/>
      <c r="F52" s="25"/>
    </row>
    <row r="53" spans="1:6" hidden="1" x14ac:dyDescent="0.25">
      <c r="A53" s="15">
        <v>43831</v>
      </c>
      <c r="B53" s="25">
        <v>0.179538</v>
      </c>
      <c r="D53" s="25"/>
      <c r="E53" s="95"/>
      <c r="F53" s="25"/>
    </row>
    <row r="54" spans="1:6" hidden="1" x14ac:dyDescent="0.25">
      <c r="A54" s="15">
        <v>43862</v>
      </c>
      <c r="B54" s="25">
        <v>0.18820300000000001</v>
      </c>
      <c r="D54" s="25"/>
      <c r="E54" s="95"/>
      <c r="F54" s="25"/>
    </row>
    <row r="55" spans="1:6" hidden="1" x14ac:dyDescent="0.25">
      <c r="A55" s="15">
        <v>43891</v>
      </c>
      <c r="B55" s="25">
        <v>0.137018</v>
      </c>
      <c r="D55" s="25"/>
      <c r="E55" s="95"/>
      <c r="F55" s="25"/>
    </row>
    <row r="56" spans="1:6" hidden="1" x14ac:dyDescent="0.25">
      <c r="A56" s="15">
        <v>43922</v>
      </c>
      <c r="B56" s="25">
        <v>0.18280199999999999</v>
      </c>
      <c r="D56" s="25"/>
      <c r="E56" s="95"/>
      <c r="F56" s="25"/>
    </row>
    <row r="57" spans="1:6" hidden="1" x14ac:dyDescent="0.25">
      <c r="A57" s="15">
        <v>43952</v>
      </c>
      <c r="B57" s="25">
        <v>0.16561400000000001</v>
      </c>
      <c r="D57" s="25"/>
      <c r="E57" s="95"/>
      <c r="F57" s="25"/>
    </row>
    <row r="58" spans="1:6" hidden="1" x14ac:dyDescent="0.25">
      <c r="A58" s="15">
        <v>43983</v>
      </c>
      <c r="B58" s="25">
        <v>0.14563899999999999</v>
      </c>
      <c r="D58" s="25"/>
      <c r="E58" s="95"/>
      <c r="F58" s="25"/>
    </row>
    <row r="59" spans="1:6" hidden="1" x14ac:dyDescent="0.25">
      <c r="A59" s="15">
        <v>44013</v>
      </c>
      <c r="B59" s="25">
        <v>0.15210299999999999</v>
      </c>
      <c r="D59" s="25"/>
      <c r="E59" s="95"/>
      <c r="F59" s="25"/>
    </row>
    <row r="60" spans="1:6" hidden="1" x14ac:dyDescent="0.25">
      <c r="A60" s="15">
        <v>44044</v>
      </c>
      <c r="B60" s="25">
        <v>0.15692800000000001</v>
      </c>
      <c r="D60" s="25"/>
      <c r="E60" s="95"/>
      <c r="F60" s="25"/>
    </row>
    <row r="61" spans="1:6" hidden="1" x14ac:dyDescent="0.25">
      <c r="A61" s="15">
        <v>44075</v>
      </c>
      <c r="B61" s="25">
        <v>0.15432000000000001</v>
      </c>
      <c r="D61" s="25"/>
      <c r="E61" s="95"/>
      <c r="F61" s="25"/>
    </row>
    <row r="62" spans="1:6" hidden="1" x14ac:dyDescent="0.25">
      <c r="A62" s="15">
        <v>44105</v>
      </c>
      <c r="B62" s="25">
        <v>0.114077</v>
      </c>
      <c r="D62" s="25"/>
      <c r="E62" s="95"/>
      <c r="F62" s="25"/>
    </row>
    <row r="63" spans="1:6" hidden="1" x14ac:dyDescent="0.25">
      <c r="A63" s="15">
        <v>44136</v>
      </c>
      <c r="B63" s="25">
        <v>0.102104</v>
      </c>
      <c r="D63" s="25"/>
      <c r="E63" s="95"/>
      <c r="F63" s="25"/>
    </row>
    <row r="64" spans="1:6" hidden="1" x14ac:dyDescent="0.25">
      <c r="A64" s="15">
        <v>44166</v>
      </c>
      <c r="B64" s="25">
        <v>0.10911800000000001</v>
      </c>
      <c r="D64" s="25"/>
      <c r="E64" s="95"/>
      <c r="F64" s="25"/>
    </row>
    <row r="65" spans="1:6" x14ac:dyDescent="0.25">
      <c r="A65" s="14">
        <v>44197</v>
      </c>
      <c r="B65" s="25">
        <v>0.11081000000000001</v>
      </c>
      <c r="D65" s="25"/>
      <c r="E65" s="95"/>
      <c r="F65" s="25"/>
    </row>
    <row r="66" spans="1:6" x14ac:dyDescent="0.25">
      <c r="A66" s="14">
        <v>44228</v>
      </c>
      <c r="B66" s="25">
        <v>0.12178899999999999</v>
      </c>
      <c r="D66" s="25"/>
      <c r="E66" s="95"/>
      <c r="F66" s="25"/>
    </row>
    <row r="67" spans="1:6" x14ac:dyDescent="0.25">
      <c r="A67" s="14">
        <v>44256</v>
      </c>
      <c r="B67" s="25">
        <v>0.10184699999999999</v>
      </c>
      <c r="D67" s="25"/>
      <c r="E67" s="95"/>
      <c r="F67" s="25"/>
    </row>
    <row r="68" spans="1:6" x14ac:dyDescent="0.25">
      <c r="A68" s="14">
        <v>44287</v>
      </c>
      <c r="B68" s="25">
        <v>0.105003</v>
      </c>
      <c r="D68" s="25"/>
      <c r="E68" s="95"/>
      <c r="F68" s="25"/>
    </row>
    <row r="69" spans="1:6" x14ac:dyDescent="0.25">
      <c r="A69" s="14">
        <v>44317</v>
      </c>
      <c r="B69" s="25">
        <v>0.118489</v>
      </c>
      <c r="D69" s="25"/>
      <c r="E69" s="95"/>
      <c r="F69" s="25"/>
    </row>
    <row r="70" spans="1:6" x14ac:dyDescent="0.25">
      <c r="A70" s="14">
        <v>44348</v>
      </c>
      <c r="B70" s="25">
        <v>0.12729499999999999</v>
      </c>
      <c r="D70" s="25"/>
      <c r="E70" s="95"/>
      <c r="F70" s="25"/>
    </row>
    <row r="71" spans="1:6" x14ac:dyDescent="0.25">
      <c r="A71" s="14">
        <v>44378</v>
      </c>
      <c r="B71" s="25">
        <v>0.15543499999999999</v>
      </c>
      <c r="D71" s="25"/>
      <c r="E71" s="95"/>
      <c r="F71" s="25"/>
    </row>
    <row r="72" spans="1:6" x14ac:dyDescent="0.25">
      <c r="A72" s="14">
        <v>44409</v>
      </c>
      <c r="B72" s="25">
        <v>0.11372500000000001</v>
      </c>
      <c r="D72" s="25"/>
      <c r="E72" s="95"/>
      <c r="F72" s="25"/>
    </row>
    <row r="73" spans="1:6" x14ac:dyDescent="0.25">
      <c r="A73" s="14">
        <v>44440</v>
      </c>
      <c r="B73" s="25">
        <v>0.106616</v>
      </c>
      <c r="D73" s="25"/>
      <c r="E73" s="95"/>
      <c r="F73" s="25"/>
    </row>
    <row r="74" spans="1:6" x14ac:dyDescent="0.25">
      <c r="A74" s="14">
        <v>44470</v>
      </c>
      <c r="B74" s="25">
        <v>8.9302999999999993E-2</v>
      </c>
      <c r="D74" s="25"/>
      <c r="E74" s="95"/>
      <c r="F74" s="25"/>
    </row>
    <row r="75" spans="1:6" x14ac:dyDescent="0.25">
      <c r="A75" s="14">
        <v>44501</v>
      </c>
      <c r="B75" s="25">
        <v>6.6633999999999999E-2</v>
      </c>
      <c r="D75" s="25"/>
      <c r="E75" s="95"/>
      <c r="F75" s="25"/>
    </row>
    <row r="76" spans="1:6" x14ac:dyDescent="0.25">
      <c r="A76" s="14">
        <v>44531</v>
      </c>
      <c r="B76" s="25">
        <v>0.106876</v>
      </c>
      <c r="D76" s="25"/>
      <c r="E76" s="95"/>
      <c r="F76" s="25"/>
    </row>
    <row r="77" spans="1:6" x14ac:dyDescent="0.25">
      <c r="A77" s="14">
        <v>44562</v>
      </c>
      <c r="B77" s="25">
        <v>0.108279</v>
      </c>
      <c r="D77" s="25"/>
      <c r="E77" s="95"/>
      <c r="F77" s="25"/>
    </row>
    <row r="78" spans="1:6" x14ac:dyDescent="0.25">
      <c r="A78" s="14">
        <v>44593</v>
      </c>
      <c r="B78" s="25">
        <v>0.11074299999999999</v>
      </c>
      <c r="D78" s="25"/>
      <c r="E78" s="95"/>
      <c r="F78" s="25"/>
    </row>
    <row r="79" spans="1:6" x14ac:dyDescent="0.25">
      <c r="A79" s="14">
        <v>44621</v>
      </c>
      <c r="B79" s="25">
        <v>0.12986900000000001</v>
      </c>
      <c r="D79" s="25"/>
      <c r="E79" s="95"/>
      <c r="F79" s="25"/>
    </row>
    <row r="80" spans="1:6" x14ac:dyDescent="0.25">
      <c r="A80" s="14">
        <v>44652</v>
      </c>
      <c r="B80" s="25">
        <v>0.15177599999999999</v>
      </c>
      <c r="D80" s="25"/>
      <c r="E80" s="95"/>
      <c r="F80" s="25"/>
    </row>
    <row r="81" spans="1:6" x14ac:dyDescent="0.25">
      <c r="A81" s="14">
        <v>44682</v>
      </c>
      <c r="B81" s="25">
        <v>0.110897</v>
      </c>
      <c r="D81" s="25"/>
      <c r="E81" s="95"/>
      <c r="F81" s="25"/>
    </row>
    <row r="82" spans="1:6" x14ac:dyDescent="0.25">
      <c r="A82" s="14">
        <v>44713</v>
      </c>
      <c r="B82" s="25">
        <v>0.123853</v>
      </c>
      <c r="D82" s="25"/>
      <c r="E82" s="95"/>
      <c r="F82" s="25"/>
    </row>
    <row r="83" spans="1:6" x14ac:dyDescent="0.25">
      <c r="A83" s="14">
        <v>44743</v>
      </c>
      <c r="B83" s="25">
        <v>0.12698699999999999</v>
      </c>
      <c r="D83" s="25"/>
      <c r="E83" s="95"/>
      <c r="F83" s="25"/>
    </row>
    <row r="84" spans="1:6" x14ac:dyDescent="0.25">
      <c r="A84" s="14">
        <v>44774</v>
      </c>
      <c r="B84" s="25">
        <v>0.12057</v>
      </c>
      <c r="D84" s="25"/>
      <c r="E84" s="95"/>
      <c r="F84" s="25"/>
    </row>
    <row r="85" spans="1:6" x14ac:dyDescent="0.25">
      <c r="A85" s="14">
        <v>44805</v>
      </c>
      <c r="B85" s="25">
        <v>0.14147799999999999</v>
      </c>
      <c r="D85" s="25"/>
      <c r="E85" s="95"/>
      <c r="F85" s="25"/>
    </row>
    <row r="86" spans="1:6" x14ac:dyDescent="0.25">
      <c r="A86" s="14">
        <v>44835</v>
      </c>
      <c r="B86" s="25">
        <v>0.147482</v>
      </c>
      <c r="D86" s="25"/>
      <c r="E86" s="95"/>
      <c r="F86" s="25"/>
    </row>
    <row r="87" spans="1:6" x14ac:dyDescent="0.25">
      <c r="A87" s="14">
        <v>44866</v>
      </c>
      <c r="B87" s="25">
        <v>0</v>
      </c>
      <c r="D87" s="25"/>
      <c r="E87" s="95"/>
      <c r="F87" s="25"/>
    </row>
    <row r="88" spans="1:6" x14ac:dyDescent="0.25">
      <c r="A88" s="14">
        <v>44896</v>
      </c>
      <c r="B88" s="25">
        <v>0.13514499999999999</v>
      </c>
    </row>
    <row r="89" spans="1:6" x14ac:dyDescent="0.25">
      <c r="A89" s="14">
        <v>44927</v>
      </c>
      <c r="B89" s="25">
        <v>0.10367700000000001</v>
      </c>
    </row>
    <row r="90" spans="1:6" x14ac:dyDescent="0.25">
      <c r="A90" s="14">
        <v>44958</v>
      </c>
      <c r="B90" s="25">
        <v>0.12101099999999999</v>
      </c>
    </row>
    <row r="91" spans="1:6" x14ac:dyDescent="0.25">
      <c r="A91" s="14">
        <v>44986</v>
      </c>
      <c r="B91" s="25">
        <v>0.20216300000000001</v>
      </c>
    </row>
    <row r="92" spans="1:6" x14ac:dyDescent="0.25">
      <c r="A92" s="14">
        <v>45017</v>
      </c>
      <c r="B92" s="25">
        <v>0.241227</v>
      </c>
    </row>
    <row r="93" spans="1:6" x14ac:dyDescent="0.25">
      <c r="A93" s="14">
        <v>45047</v>
      </c>
      <c r="B93" s="25">
        <v>0.37820399999999998</v>
      </c>
    </row>
    <row r="94" spans="1:6" x14ac:dyDescent="0.25">
      <c r="A94" s="14">
        <v>45078</v>
      </c>
      <c r="B94" s="25">
        <v>0.31261899999999998</v>
      </c>
    </row>
    <row r="95" spans="1:6" x14ac:dyDescent="0.25">
      <c r="A95" s="14">
        <v>45108</v>
      </c>
      <c r="B95" s="25">
        <v>0.40142899999999998</v>
      </c>
    </row>
    <row r="96" spans="1:6" x14ac:dyDescent="0.25">
      <c r="A96" s="14">
        <v>45139</v>
      </c>
      <c r="B96" s="25">
        <v>0.30302499999999999</v>
      </c>
    </row>
    <row r="97" spans="1:2" x14ac:dyDescent="0.25">
      <c r="A97" s="14">
        <v>45170</v>
      </c>
      <c r="B97" s="25">
        <v>0.205092</v>
      </c>
    </row>
    <row r="98" spans="1:2" x14ac:dyDescent="0.25">
      <c r="A98" s="14">
        <v>45200</v>
      </c>
      <c r="B98" s="25">
        <v>0.31087999999999999</v>
      </c>
    </row>
    <row r="99" spans="1:2" x14ac:dyDescent="0.25">
      <c r="A99" s="14">
        <v>45231</v>
      </c>
      <c r="B99" s="25">
        <v>0.269316</v>
      </c>
    </row>
    <row r="100" spans="1:2" x14ac:dyDescent="0.25">
      <c r="A100" s="14">
        <v>45261</v>
      </c>
      <c r="B100" s="25">
        <v>0.30130299999999999</v>
      </c>
    </row>
    <row r="101" spans="1:2" x14ac:dyDescent="0.25">
      <c r="A101" s="14">
        <v>45292</v>
      </c>
      <c r="B101" s="25">
        <v>0.29108499999999998</v>
      </c>
    </row>
    <row r="102" spans="1:2" x14ac:dyDescent="0.25">
      <c r="A102" s="14">
        <v>45323</v>
      </c>
      <c r="B102" s="25">
        <v>0.29903400000000002</v>
      </c>
    </row>
    <row r="103" spans="1:2" x14ac:dyDescent="0.25">
      <c r="A103" s="14">
        <v>45352</v>
      </c>
      <c r="B103" s="25">
        <v>0.45419599999999999</v>
      </c>
    </row>
    <row r="104" spans="1:2" x14ac:dyDescent="0.25">
      <c r="A104" s="14">
        <v>45383</v>
      </c>
      <c r="B104" s="25">
        <v>0.34164499999999998</v>
      </c>
    </row>
    <row r="105" spans="1:2" x14ac:dyDescent="0.25">
      <c r="A105" s="14">
        <v>45413</v>
      </c>
      <c r="B105" s="25">
        <v>0.31060199999999999</v>
      </c>
    </row>
    <row r="106" spans="1:2" x14ac:dyDescent="0.25">
      <c r="A106" s="14">
        <v>45444</v>
      </c>
      <c r="B106" s="25">
        <v>0.30881900000000001</v>
      </c>
    </row>
    <row r="107" spans="1:2" x14ac:dyDescent="0.25">
      <c r="A107" s="14">
        <v>45474</v>
      </c>
      <c r="B107" s="25">
        <v>0.31423099999999998</v>
      </c>
    </row>
    <row r="108" spans="1:2" x14ac:dyDescent="0.25">
      <c r="A108" s="14">
        <v>45505</v>
      </c>
      <c r="B108" s="25">
        <v>0.38170900000000002</v>
      </c>
    </row>
    <row r="109" spans="1:2" x14ac:dyDescent="0.25">
      <c r="A109" s="14">
        <v>45536</v>
      </c>
      <c r="B109" s="25">
        <v>0.41731499999999999</v>
      </c>
    </row>
    <row r="110" spans="1:2" x14ac:dyDescent="0.25">
      <c r="A110" s="14">
        <v>45566</v>
      </c>
      <c r="B110" s="25">
        <v>0.41150399999999998</v>
      </c>
    </row>
    <row r="111" spans="1:2" x14ac:dyDescent="0.25">
      <c r="A111" s="14">
        <v>45597</v>
      </c>
      <c r="B111" s="25">
        <v>0.48625000000000002</v>
      </c>
    </row>
    <row r="112" spans="1:2" x14ac:dyDescent="0.25">
      <c r="A112" s="14">
        <v>45627</v>
      </c>
      <c r="B112" s="25">
        <v>0.39985799999999999</v>
      </c>
    </row>
    <row r="113" spans="1:2" x14ac:dyDescent="0.25">
      <c r="A113" s="14">
        <v>45658</v>
      </c>
      <c r="B113" s="25">
        <v>0.41091699999999998</v>
      </c>
    </row>
    <row r="114" spans="1:2" x14ac:dyDescent="0.25">
      <c r="A114" s="14">
        <v>45689</v>
      </c>
      <c r="B114" s="25">
        <v>0.48166799999999999</v>
      </c>
    </row>
    <row r="115" spans="1:2" x14ac:dyDescent="0.25">
      <c r="A115" s="14">
        <v>45717</v>
      </c>
      <c r="B115" s="25">
        <v>0.47711100000000001</v>
      </c>
    </row>
    <row r="116" spans="1:2" x14ac:dyDescent="0.25">
      <c r="A116" s="14">
        <v>45748</v>
      </c>
      <c r="B116" s="25">
        <v>0.45650600000000002</v>
      </c>
    </row>
    <row r="117" spans="1:2" x14ac:dyDescent="0.25">
      <c r="A117" s="14">
        <v>45778</v>
      </c>
      <c r="B117" s="25">
        <v>0.55486899999999995</v>
      </c>
    </row>
    <row r="118" spans="1:2" x14ac:dyDescent="0.25">
      <c r="A118" s="14">
        <v>45809</v>
      </c>
      <c r="B118" s="25">
        <v>0.33561200000000002</v>
      </c>
    </row>
    <row r="119" spans="1:2" x14ac:dyDescent="0.25">
      <c r="A119" s="14">
        <v>45839</v>
      </c>
      <c r="B119" s="25">
        <v>0.40385399999999999</v>
      </c>
    </row>
    <row r="120" spans="1:2" x14ac:dyDescent="0.25">
      <c r="A120" s="14">
        <v>45870</v>
      </c>
      <c r="B120" s="25">
        <v>0.46520499999999998</v>
      </c>
    </row>
    <row r="121" spans="1:2" x14ac:dyDescent="0.25">
      <c r="A121" s="14">
        <v>45901</v>
      </c>
      <c r="B121" s="25">
        <v>0.70465500000000003</v>
      </c>
    </row>
    <row r="122" spans="1:2" x14ac:dyDescent="0.25">
      <c r="A122" s="14"/>
      <c r="B122" s="25"/>
    </row>
    <row r="123" spans="1:2" x14ac:dyDescent="0.25">
      <c r="A123" s="14"/>
      <c r="B123" s="25"/>
    </row>
    <row r="124" spans="1:2" x14ac:dyDescent="0.25">
      <c r="A124" s="14"/>
      <c r="B124" s="25"/>
    </row>
    <row r="125" spans="1:2" ht="75" x14ac:dyDescent="0.25">
      <c r="A125" s="27" t="str">
        <f>Pooling_Month</f>
        <v>November 2025</v>
      </c>
      <c r="B125" s="20" t="s">
        <v>136</v>
      </c>
    </row>
    <row r="126" spans="1:2" x14ac:dyDescent="0.25">
      <c r="A126" s="31" t="s">
        <v>60</v>
      </c>
      <c r="B126" s="260">
        <f>B131</f>
        <v>0.77359</v>
      </c>
    </row>
    <row r="127" spans="1:2" ht="13.5" customHeight="1" x14ac:dyDescent="0.25"/>
    <row r="128" spans="1:2" hidden="1" x14ac:dyDescent="0.25"/>
    <row r="129" spans="1:17" ht="30" hidden="1" x14ac:dyDescent="0.25">
      <c r="A129" s="40" t="s">
        <v>214</v>
      </c>
      <c r="B129" s="95">
        <f>B111-B109</f>
        <v>6.8935000000000024E-2</v>
      </c>
    </row>
    <row r="130" spans="1:17" hidden="1" x14ac:dyDescent="0.25">
      <c r="A130" s="93" t="s">
        <v>215</v>
      </c>
      <c r="B130" s="95">
        <f>B121</f>
        <v>0.70465500000000003</v>
      </c>
      <c r="J130" t="s">
        <v>195</v>
      </c>
    </row>
    <row r="131" spans="1:17" hidden="1" x14ac:dyDescent="0.25">
      <c r="A131" s="269" t="s">
        <v>211</v>
      </c>
      <c r="B131" s="95">
        <f>SUM(B129:B130)</f>
        <v>0.77359</v>
      </c>
      <c r="C131" s="3"/>
      <c r="E131" s="3"/>
      <c r="F131" s="3"/>
      <c r="G131" s="3"/>
      <c r="H131" s="3"/>
      <c r="I131" s="3"/>
      <c r="J131" s="3"/>
      <c r="K131" s="3"/>
      <c r="L131" s="3"/>
      <c r="M131" s="3"/>
      <c r="N131" s="3"/>
      <c r="O131" s="3"/>
      <c r="P131" s="3"/>
      <c r="Q131" s="3"/>
    </row>
    <row r="132" spans="1:17" hidden="1" x14ac:dyDescent="0.25">
      <c r="A132" s="92" t="s">
        <v>206</v>
      </c>
      <c r="B132" s="95">
        <f>B111</f>
        <v>0.48625000000000002</v>
      </c>
      <c r="C132" s="3"/>
      <c r="E132" s="3"/>
      <c r="F132" s="3"/>
      <c r="G132" s="3"/>
      <c r="H132" s="3"/>
      <c r="I132" s="3"/>
      <c r="J132" s="3"/>
      <c r="K132" s="3"/>
      <c r="L132" s="3"/>
      <c r="M132" s="3"/>
      <c r="N132" s="3"/>
      <c r="O132" s="3"/>
      <c r="P132" s="3"/>
      <c r="Q132" s="3"/>
    </row>
    <row r="133" spans="1:17" hidden="1" x14ac:dyDescent="0.25">
      <c r="A133" t="s">
        <v>83</v>
      </c>
      <c r="B133" s="25">
        <f>AVERAGE(B131:B132)</f>
        <v>0.62992000000000004</v>
      </c>
    </row>
    <row r="134" spans="1:17" hidden="1" x14ac:dyDescent="0.25"/>
    <row r="135" spans="1:17" hidden="1" x14ac:dyDescent="0.25">
      <c r="A135" s="92" t="s">
        <v>207</v>
      </c>
      <c r="B135" s="25">
        <f>B99</f>
        <v>0.269316</v>
      </c>
    </row>
    <row r="136" spans="1:17" hidden="1" x14ac:dyDescent="0.25">
      <c r="A136" t="s">
        <v>85</v>
      </c>
      <c r="B136" s="25">
        <f>AVERAGE(B131:B132,B135)</f>
        <v>0.50971866666666665</v>
      </c>
    </row>
    <row r="137" spans="1:17" hidden="1" x14ac:dyDescent="0.25"/>
  </sheetData>
  <sheetProtection algorithmName="SHA-512" hashValue="MoPLre/5bmOd7bkUs7ISjNpAtcb5xf9d+qSoIvPxhcQm5f0bN+YehAdysT8oBEavA4HjoLswKYIOAOiqEkp6EA==" saltValue="nEjJO9bqhclDwC5bdP5zSg=="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tint="0.39997558519241921"/>
  </sheetPr>
  <dimension ref="A1:N166"/>
  <sheetViews>
    <sheetView topLeftCell="A136" workbookViewId="0">
      <selection activeCell="K177" sqref="K177"/>
    </sheetView>
  </sheetViews>
  <sheetFormatPr defaultRowHeight="15" x14ac:dyDescent="0.25"/>
  <cols>
    <col min="1" max="1" width="28.7109375" customWidth="1"/>
    <col min="2" max="2" width="17.85546875" customWidth="1"/>
    <col min="13" max="13" width="12.5703125" bestFit="1" customWidth="1"/>
    <col min="14" max="14" width="11.5703125" bestFit="1" customWidth="1"/>
  </cols>
  <sheetData>
    <row r="1" spans="1:6" ht="75" x14ac:dyDescent="0.25">
      <c r="A1" s="20" t="s">
        <v>0</v>
      </c>
      <c r="B1" s="20" t="s">
        <v>140</v>
      </c>
      <c r="C1" s="4"/>
      <c r="D1" s="4"/>
      <c r="E1" s="4"/>
      <c r="F1" s="4"/>
    </row>
    <row r="2" spans="1:6" hidden="1" x14ac:dyDescent="0.25">
      <c r="A2" s="14">
        <v>41579</v>
      </c>
      <c r="B2" s="25">
        <v>7.554E-3</v>
      </c>
    </row>
    <row r="3" spans="1:6" hidden="1" x14ac:dyDescent="0.25">
      <c r="A3" s="14">
        <v>41609</v>
      </c>
      <c r="B3" s="25">
        <v>2.9475999999999999E-2</v>
      </c>
    </row>
    <row r="4" spans="1:6" hidden="1" x14ac:dyDescent="0.25">
      <c r="A4" s="14">
        <v>41640</v>
      </c>
      <c r="B4" s="25">
        <v>2.8667000000000002E-2</v>
      </c>
    </row>
    <row r="5" spans="1:6" hidden="1" x14ac:dyDescent="0.25">
      <c r="A5" s="14">
        <v>41671</v>
      </c>
      <c r="B5" s="25">
        <v>4.5931E-2</v>
      </c>
    </row>
    <row r="6" spans="1:6" hidden="1" x14ac:dyDescent="0.25">
      <c r="A6" s="14">
        <v>41699</v>
      </c>
      <c r="B6" s="25">
        <v>6.7464999999999997E-2</v>
      </c>
    </row>
    <row r="7" spans="1:6" hidden="1" x14ac:dyDescent="0.25">
      <c r="A7" s="14">
        <v>41730</v>
      </c>
      <c r="B7" s="25">
        <v>8.2623000000000002E-2</v>
      </c>
    </row>
    <row r="8" spans="1:6" hidden="1" x14ac:dyDescent="0.25">
      <c r="A8" s="14">
        <v>41760</v>
      </c>
      <c r="B8" s="25">
        <v>0.14266000000000001</v>
      </c>
    </row>
    <row r="9" spans="1:6" hidden="1" x14ac:dyDescent="0.25">
      <c r="A9" s="14">
        <v>41791</v>
      </c>
      <c r="B9" s="25">
        <v>0.19531799999999999</v>
      </c>
    </row>
    <row r="10" spans="1:6" hidden="1" x14ac:dyDescent="0.25">
      <c r="A10" s="14">
        <v>41821</v>
      </c>
      <c r="B10" s="25">
        <v>0.149753</v>
      </c>
    </row>
    <row r="11" spans="1:6" hidden="1" x14ac:dyDescent="0.25">
      <c r="A11" s="14">
        <v>41852</v>
      </c>
      <c r="B11" s="25">
        <v>0.116357</v>
      </c>
    </row>
    <row r="12" spans="1:6" hidden="1" x14ac:dyDescent="0.25">
      <c r="A12" s="14">
        <v>41883</v>
      </c>
      <c r="B12" s="25">
        <v>5.0255000000000001E-2</v>
      </c>
    </row>
    <row r="13" spans="1:6" hidden="1" x14ac:dyDescent="0.25">
      <c r="A13" s="14">
        <v>41913</v>
      </c>
      <c r="B13" s="25">
        <v>3.4869999999999998E-2</v>
      </c>
    </row>
    <row r="14" spans="1:6" hidden="1" x14ac:dyDescent="0.25">
      <c r="A14" s="14">
        <v>41944</v>
      </c>
      <c r="B14" s="25">
        <v>4.7017999999999997E-2</v>
      </c>
    </row>
    <row r="15" spans="1:6" hidden="1" x14ac:dyDescent="0.25">
      <c r="A15" s="14">
        <v>41974</v>
      </c>
      <c r="B15" s="25">
        <v>0.112259</v>
      </c>
    </row>
    <row r="16" spans="1:6" hidden="1" x14ac:dyDescent="0.25">
      <c r="A16" s="14">
        <v>42005</v>
      </c>
      <c r="B16" s="25">
        <v>6.8894999999999998E-2</v>
      </c>
    </row>
    <row r="17" spans="1:4" hidden="1" x14ac:dyDescent="0.25">
      <c r="A17" s="14">
        <v>42036</v>
      </c>
      <c r="B17" s="25">
        <v>9.6212000000000006E-2</v>
      </c>
    </row>
    <row r="18" spans="1:4" hidden="1" x14ac:dyDescent="0.25">
      <c r="A18" s="14">
        <v>42064</v>
      </c>
      <c r="B18" s="25">
        <v>0.110914</v>
      </c>
    </row>
    <row r="19" spans="1:4" hidden="1" x14ac:dyDescent="0.25">
      <c r="A19" s="14">
        <v>42095</v>
      </c>
      <c r="B19" s="25">
        <v>0.122809</v>
      </c>
    </row>
    <row r="20" spans="1:4" hidden="1" x14ac:dyDescent="0.25">
      <c r="A20" s="14">
        <v>42125</v>
      </c>
      <c r="B20" s="25">
        <v>0.13458500000000001</v>
      </c>
    </row>
    <row r="21" spans="1:4" hidden="1" x14ac:dyDescent="0.25">
      <c r="A21" s="14">
        <v>42156</v>
      </c>
      <c r="B21" s="25">
        <v>0.189001</v>
      </c>
    </row>
    <row r="22" spans="1:4" hidden="1" x14ac:dyDescent="0.25">
      <c r="A22" s="14">
        <v>42186</v>
      </c>
      <c r="B22" s="25">
        <v>0.13778699999999999</v>
      </c>
    </row>
    <row r="23" spans="1:4" hidden="1" x14ac:dyDescent="0.25">
      <c r="A23" s="14">
        <v>42217</v>
      </c>
      <c r="B23" s="25">
        <v>0.10169499999999999</v>
      </c>
    </row>
    <row r="24" spans="1:4" hidden="1" x14ac:dyDescent="0.25">
      <c r="A24" s="14">
        <v>42248</v>
      </c>
      <c r="B24" s="25">
        <v>5.6767999999999999E-2</v>
      </c>
    </row>
    <row r="25" spans="1:4" hidden="1" x14ac:dyDescent="0.25">
      <c r="A25" s="14">
        <v>42278</v>
      </c>
      <c r="B25" s="25">
        <v>5.2735999999999998E-2</v>
      </c>
    </row>
    <row r="26" spans="1:4" hidden="1" x14ac:dyDescent="0.25">
      <c r="A26" s="14">
        <v>42309</v>
      </c>
      <c r="B26" s="25">
        <v>4.2098999999999998E-2</v>
      </c>
    </row>
    <row r="27" spans="1:4" hidden="1" x14ac:dyDescent="0.25">
      <c r="A27" s="14">
        <v>42339</v>
      </c>
      <c r="B27" s="25">
        <v>6.4781000000000005E-2</v>
      </c>
      <c r="D27" s="25"/>
    </row>
    <row r="28" spans="1:4" hidden="1" x14ac:dyDescent="0.25">
      <c r="A28" s="14">
        <v>42370</v>
      </c>
      <c r="B28" s="25">
        <v>8.8657E-2</v>
      </c>
      <c r="D28" s="25"/>
    </row>
    <row r="29" spans="1:4" hidden="1" x14ac:dyDescent="0.25">
      <c r="A29" s="14">
        <v>42401</v>
      </c>
      <c r="B29" s="25">
        <v>7.8405000000000002E-2</v>
      </c>
      <c r="D29" s="25"/>
    </row>
    <row r="30" spans="1:4" hidden="1" x14ac:dyDescent="0.25">
      <c r="A30" s="14">
        <v>42430</v>
      </c>
      <c r="B30" s="25">
        <v>9.5011999999999999E-2</v>
      </c>
      <c r="D30" s="25"/>
    </row>
    <row r="31" spans="1:4" hidden="1" x14ac:dyDescent="0.25">
      <c r="A31" s="14">
        <v>42461</v>
      </c>
      <c r="B31" s="25">
        <v>0.103967</v>
      </c>
      <c r="D31" s="25"/>
    </row>
    <row r="32" spans="1:4" hidden="1" x14ac:dyDescent="0.25">
      <c r="A32" s="14">
        <v>42491</v>
      </c>
      <c r="B32" s="25">
        <v>0.120104</v>
      </c>
      <c r="D32" s="25"/>
    </row>
    <row r="33" spans="1:4" hidden="1" x14ac:dyDescent="0.25">
      <c r="A33" s="14">
        <v>42522</v>
      </c>
      <c r="B33" s="25">
        <v>0.15414700000000001</v>
      </c>
      <c r="D33" s="25"/>
    </row>
    <row r="34" spans="1:4" hidden="1" x14ac:dyDescent="0.25">
      <c r="A34" s="14">
        <v>42552</v>
      </c>
      <c r="B34" s="25">
        <v>0.12681400000000001</v>
      </c>
      <c r="D34" s="25"/>
    </row>
    <row r="35" spans="1:4" hidden="1" x14ac:dyDescent="0.25">
      <c r="A35" s="14">
        <v>42583</v>
      </c>
      <c r="B35" s="25">
        <v>6.7128999999999994E-2</v>
      </c>
      <c r="D35" s="25"/>
    </row>
    <row r="36" spans="1:4" hidden="1" x14ac:dyDescent="0.25">
      <c r="A36" s="14">
        <v>42614</v>
      </c>
      <c r="B36" s="25">
        <v>2.6270999999999999E-2</v>
      </c>
      <c r="D36" s="25"/>
    </row>
    <row r="37" spans="1:4" hidden="1" x14ac:dyDescent="0.25">
      <c r="A37" s="14">
        <v>42644</v>
      </c>
      <c r="B37" s="25">
        <v>1.9757E-2</v>
      </c>
      <c r="D37" s="25"/>
    </row>
    <row r="38" spans="1:4" hidden="1" x14ac:dyDescent="0.25">
      <c r="A38" s="14">
        <v>42675</v>
      </c>
      <c r="B38" s="25">
        <v>4.0516000000000003E-2</v>
      </c>
      <c r="D38" s="25"/>
    </row>
    <row r="39" spans="1:4" hidden="1" x14ac:dyDescent="0.25">
      <c r="A39" s="14">
        <v>42705</v>
      </c>
      <c r="B39" s="25">
        <v>3.2499E-2</v>
      </c>
      <c r="D39" s="25"/>
    </row>
    <row r="40" spans="1:4" hidden="1" x14ac:dyDescent="0.25">
      <c r="A40" s="14">
        <v>42736</v>
      </c>
      <c r="B40" s="25">
        <v>4.4687999999999999E-2</v>
      </c>
      <c r="D40" s="25"/>
    </row>
    <row r="41" spans="1:4" hidden="1" x14ac:dyDescent="0.25">
      <c r="A41" s="14">
        <v>42767</v>
      </c>
      <c r="B41" s="25">
        <v>3.6873999999999997E-2</v>
      </c>
      <c r="D41" s="25"/>
    </row>
    <row r="42" spans="1:4" hidden="1" x14ac:dyDescent="0.25">
      <c r="A42" s="14">
        <v>42795</v>
      </c>
      <c r="B42" s="25">
        <v>3.6135E-2</v>
      </c>
      <c r="D42" s="25"/>
    </row>
    <row r="43" spans="1:4" hidden="1" x14ac:dyDescent="0.25">
      <c r="A43" s="14">
        <v>42826</v>
      </c>
      <c r="B43" s="25">
        <v>6.0714999999999998E-2</v>
      </c>
      <c r="D43" s="25"/>
    </row>
    <row r="44" spans="1:4" hidden="1" x14ac:dyDescent="0.25">
      <c r="A44" s="14">
        <v>42856</v>
      </c>
      <c r="B44" s="25">
        <v>7.1289000000000005E-2</v>
      </c>
      <c r="D44" s="25"/>
    </row>
    <row r="45" spans="1:4" hidden="1" x14ac:dyDescent="0.25">
      <c r="A45" s="14">
        <v>42887</v>
      </c>
      <c r="B45" s="25">
        <v>0.116586</v>
      </c>
      <c r="D45" s="25"/>
    </row>
    <row r="46" spans="1:4" hidden="1" x14ac:dyDescent="0.25">
      <c r="A46" s="14">
        <v>42917</v>
      </c>
      <c r="B46" s="25">
        <v>0.115332</v>
      </c>
      <c r="D46" s="25"/>
    </row>
    <row r="47" spans="1:4" hidden="1" x14ac:dyDescent="0.25">
      <c r="A47" s="14">
        <v>42948</v>
      </c>
      <c r="B47" s="25">
        <v>4.7965000000000001E-2</v>
      </c>
      <c r="D47" s="25"/>
    </row>
    <row r="48" spans="1:4" hidden="1" x14ac:dyDescent="0.25">
      <c r="A48" s="14">
        <v>42979</v>
      </c>
      <c r="B48" s="25">
        <v>3.1913999999999998E-2</v>
      </c>
      <c r="D48" s="25"/>
    </row>
    <row r="49" spans="1:2" hidden="1" x14ac:dyDescent="0.25">
      <c r="A49" s="14">
        <v>43009</v>
      </c>
      <c r="B49" s="25">
        <v>1.9567000000000001E-2</v>
      </c>
    </row>
    <row r="50" spans="1:2" hidden="1" x14ac:dyDescent="0.25">
      <c r="A50" s="14">
        <v>43040</v>
      </c>
      <c r="B50" s="25">
        <v>1.6257000000000001E-2</v>
      </c>
    </row>
    <row r="51" spans="1:2" hidden="1" x14ac:dyDescent="0.25">
      <c r="A51" s="14">
        <v>43070</v>
      </c>
      <c r="B51" s="25">
        <v>5.0563999999999998E-2</v>
      </c>
    </row>
    <row r="52" spans="1:2" hidden="1" x14ac:dyDescent="0.25">
      <c r="A52" s="14">
        <v>43101</v>
      </c>
      <c r="B52" s="25">
        <v>4.5267000000000002E-2</v>
      </c>
    </row>
    <row r="53" spans="1:2" hidden="1" x14ac:dyDescent="0.25">
      <c r="A53" s="14">
        <v>43132</v>
      </c>
      <c r="B53" s="25">
        <v>4.9834999999999997E-2</v>
      </c>
    </row>
    <row r="54" spans="1:2" hidden="1" x14ac:dyDescent="0.25">
      <c r="A54" s="14">
        <v>43160</v>
      </c>
      <c r="B54" s="25">
        <v>3.7040999999999998E-2</v>
      </c>
    </row>
    <row r="55" spans="1:2" hidden="1" x14ac:dyDescent="0.25">
      <c r="A55" s="14">
        <v>43191</v>
      </c>
      <c r="B55" s="25">
        <v>7.1703000000000003E-2</v>
      </c>
    </row>
    <row r="56" spans="1:2" hidden="1" x14ac:dyDescent="0.25">
      <c r="A56" s="14">
        <v>43221</v>
      </c>
      <c r="B56" s="25">
        <v>7.8208E-2</v>
      </c>
    </row>
    <row r="57" spans="1:2" hidden="1" x14ac:dyDescent="0.25">
      <c r="A57" s="14">
        <v>43252</v>
      </c>
      <c r="B57" s="25">
        <v>0.127419</v>
      </c>
    </row>
    <row r="58" spans="1:2" hidden="1" x14ac:dyDescent="0.25">
      <c r="A58" s="14">
        <v>43282</v>
      </c>
      <c r="B58" s="25">
        <v>0.100065</v>
      </c>
    </row>
    <row r="59" spans="1:2" hidden="1" x14ac:dyDescent="0.25">
      <c r="A59" s="14">
        <v>43313</v>
      </c>
      <c r="B59" s="25">
        <v>6.5342999999999998E-2</v>
      </c>
    </row>
    <row r="60" spans="1:2" hidden="1" x14ac:dyDescent="0.25">
      <c r="A60" s="14">
        <v>43344</v>
      </c>
      <c r="B60" s="25">
        <v>3.163E-3</v>
      </c>
    </row>
    <row r="61" spans="1:2" hidden="1" x14ac:dyDescent="0.25">
      <c r="A61" s="14">
        <v>43374</v>
      </c>
      <c r="B61" s="25">
        <v>0</v>
      </c>
    </row>
    <row r="62" spans="1:2" hidden="1" x14ac:dyDescent="0.25">
      <c r="A62" s="14">
        <v>43405</v>
      </c>
      <c r="B62" s="25">
        <v>3.4009999999999999E-3</v>
      </c>
    </row>
    <row r="63" spans="1:2" hidden="1" x14ac:dyDescent="0.25">
      <c r="A63" s="14">
        <v>43435</v>
      </c>
      <c r="B63" s="25">
        <v>3.1359999999999999E-2</v>
      </c>
    </row>
    <row r="64" spans="1:2" hidden="1" x14ac:dyDescent="0.25">
      <c r="A64" s="14">
        <v>43466</v>
      </c>
      <c r="B64" s="25">
        <v>1.0895E-2</v>
      </c>
    </row>
    <row r="65" spans="1:14" hidden="1" x14ac:dyDescent="0.25">
      <c r="A65" s="14">
        <v>43497</v>
      </c>
      <c r="B65" s="25">
        <v>4.7711000000000003E-2</v>
      </c>
    </row>
    <row r="66" spans="1:14" hidden="1" x14ac:dyDescent="0.25">
      <c r="A66" s="14">
        <v>43525</v>
      </c>
      <c r="B66" s="25">
        <v>2.1010999999999998E-2</v>
      </c>
    </row>
    <row r="67" spans="1:14" hidden="1" x14ac:dyDescent="0.25">
      <c r="A67" s="14">
        <v>43556</v>
      </c>
      <c r="B67" s="25">
        <v>4.2083000000000002E-2</v>
      </c>
    </row>
    <row r="68" spans="1:14" hidden="1" x14ac:dyDescent="0.25">
      <c r="A68" s="14">
        <v>43586</v>
      </c>
      <c r="B68" s="25">
        <v>5.4078000000000001E-2</v>
      </c>
    </row>
    <row r="69" spans="1:14" hidden="1" x14ac:dyDescent="0.25">
      <c r="A69" s="14">
        <v>43617</v>
      </c>
      <c r="B69" s="25">
        <v>0.106305</v>
      </c>
    </row>
    <row r="70" spans="1:14" hidden="1" x14ac:dyDescent="0.25">
      <c r="A70" s="14">
        <v>43647</v>
      </c>
      <c r="B70" s="25">
        <v>0.104202</v>
      </c>
      <c r="M70" s="224"/>
      <c r="N70" s="94"/>
    </row>
    <row r="71" spans="1:14" hidden="1" x14ac:dyDescent="0.25">
      <c r="A71" s="14">
        <v>43678</v>
      </c>
      <c r="B71" s="25">
        <v>5.4970999999999999E-2</v>
      </c>
      <c r="M71" s="224"/>
      <c r="N71" s="94"/>
    </row>
    <row r="72" spans="1:14" hidden="1" x14ac:dyDescent="0.25">
      <c r="A72" s="14">
        <v>43709</v>
      </c>
      <c r="B72" s="25">
        <v>3.4021999999999997E-2</v>
      </c>
      <c r="M72" s="224"/>
      <c r="N72" s="94"/>
    </row>
    <row r="73" spans="1:14" hidden="1" x14ac:dyDescent="0.25">
      <c r="A73" s="14">
        <v>43739</v>
      </c>
      <c r="B73" s="25">
        <v>3.2586999999999998E-2</v>
      </c>
      <c r="M73" s="224"/>
      <c r="N73" s="94"/>
    </row>
    <row r="74" spans="1:14" hidden="1" x14ac:dyDescent="0.25">
      <c r="A74" s="14">
        <v>43770</v>
      </c>
      <c r="B74" s="25">
        <v>3.4629E-2</v>
      </c>
      <c r="M74" s="224"/>
      <c r="N74" s="94"/>
    </row>
    <row r="75" spans="1:14" hidden="1" x14ac:dyDescent="0.25">
      <c r="A75" s="14">
        <v>43800</v>
      </c>
      <c r="B75" s="25">
        <v>6.1619E-2</v>
      </c>
      <c r="M75" s="224"/>
      <c r="N75" s="94"/>
    </row>
    <row r="76" spans="1:14" hidden="1" x14ac:dyDescent="0.25">
      <c r="A76" s="14">
        <v>43831</v>
      </c>
      <c r="B76" s="25">
        <v>4.802E-2</v>
      </c>
      <c r="M76" s="224"/>
      <c r="N76" s="94"/>
    </row>
    <row r="77" spans="1:14" hidden="1" x14ac:dyDescent="0.25">
      <c r="A77" s="14">
        <v>43862</v>
      </c>
      <c r="B77" s="25">
        <v>3.8897000000000001E-2</v>
      </c>
      <c r="M77" s="224"/>
      <c r="N77" s="94"/>
    </row>
    <row r="78" spans="1:14" hidden="1" x14ac:dyDescent="0.25">
      <c r="A78" s="14">
        <v>43891</v>
      </c>
      <c r="B78" s="25">
        <v>3.6125999999999998E-2</v>
      </c>
      <c r="M78" s="224"/>
      <c r="N78" s="94"/>
    </row>
    <row r="79" spans="1:14" hidden="1" x14ac:dyDescent="0.25">
      <c r="A79" s="14">
        <v>43922</v>
      </c>
      <c r="B79" s="25">
        <v>5.3332999999999998E-2</v>
      </c>
      <c r="M79" s="224"/>
      <c r="N79" s="94"/>
    </row>
    <row r="80" spans="1:14" hidden="1" x14ac:dyDescent="0.25">
      <c r="A80" s="14">
        <v>43952</v>
      </c>
      <c r="B80" s="25">
        <v>5.8356999999999999E-2</v>
      </c>
      <c r="M80" s="224"/>
      <c r="N80" s="94"/>
    </row>
    <row r="81" spans="1:14" hidden="1" x14ac:dyDescent="0.25">
      <c r="A81" s="14">
        <v>43983</v>
      </c>
      <c r="B81" s="25">
        <v>8.8455000000000006E-2</v>
      </c>
      <c r="M81" s="224"/>
      <c r="N81" s="94"/>
    </row>
    <row r="82" spans="1:14" hidden="1" x14ac:dyDescent="0.25">
      <c r="A82" s="14">
        <v>44013</v>
      </c>
      <c r="B82" s="25">
        <v>7.6226000000000002E-2</v>
      </c>
      <c r="M82" s="224"/>
      <c r="N82" s="94"/>
    </row>
    <row r="83" spans="1:14" hidden="1" x14ac:dyDescent="0.25">
      <c r="A83" s="14">
        <v>44044</v>
      </c>
      <c r="B83" s="25">
        <v>4.0113000000000003E-2</v>
      </c>
      <c r="M83" s="224"/>
      <c r="N83" s="94"/>
    </row>
    <row r="84" spans="1:14" hidden="1" x14ac:dyDescent="0.25">
      <c r="A84" s="14">
        <v>44075</v>
      </c>
      <c r="B84" s="25">
        <v>3.5610999999999997E-2</v>
      </c>
      <c r="M84" s="224"/>
      <c r="N84" s="94"/>
    </row>
    <row r="85" spans="1:14" hidden="1" x14ac:dyDescent="0.25">
      <c r="A85" s="14">
        <v>44105</v>
      </c>
      <c r="B85" s="25">
        <v>3.2326000000000001E-2</v>
      </c>
      <c r="M85" s="224"/>
      <c r="N85" s="94"/>
    </row>
    <row r="86" spans="1:14" hidden="1" x14ac:dyDescent="0.25">
      <c r="A86" s="14">
        <v>44136</v>
      </c>
      <c r="B86" s="25">
        <v>3.1515000000000001E-2</v>
      </c>
      <c r="M86" s="224"/>
      <c r="N86" s="94"/>
    </row>
    <row r="87" spans="1:14" hidden="1" x14ac:dyDescent="0.25">
      <c r="A87" s="14">
        <v>44166</v>
      </c>
      <c r="B87" s="25">
        <v>4.6245000000000001E-2</v>
      </c>
      <c r="M87" s="224"/>
      <c r="N87" s="94"/>
    </row>
    <row r="88" spans="1:14" x14ac:dyDescent="0.25">
      <c r="A88" s="14">
        <v>44197</v>
      </c>
      <c r="B88" s="25">
        <v>0</v>
      </c>
      <c r="M88" s="224"/>
      <c r="N88" s="94"/>
    </row>
    <row r="89" spans="1:14" x14ac:dyDescent="0.25">
      <c r="A89" s="14">
        <v>44228</v>
      </c>
      <c r="B89" s="25">
        <v>0</v>
      </c>
      <c r="M89" s="224"/>
      <c r="N89" s="94"/>
    </row>
    <row r="90" spans="1:14" x14ac:dyDescent="0.25">
      <c r="A90" s="14">
        <v>44256</v>
      </c>
      <c r="B90" s="25">
        <v>6.6470000000000001E-2</v>
      </c>
      <c r="M90" s="224"/>
      <c r="N90" s="94"/>
    </row>
    <row r="91" spans="1:14" x14ac:dyDescent="0.25">
      <c r="A91" s="14">
        <v>44287</v>
      </c>
      <c r="B91" s="25">
        <v>5.8886000000000001E-2</v>
      </c>
      <c r="M91" s="224"/>
      <c r="N91" s="94"/>
    </row>
    <row r="92" spans="1:14" x14ac:dyDescent="0.25">
      <c r="A92" s="14">
        <v>44317</v>
      </c>
      <c r="B92" s="25">
        <v>7.4212E-2</v>
      </c>
      <c r="M92" s="224"/>
      <c r="N92" s="94"/>
    </row>
    <row r="93" spans="1:14" x14ac:dyDescent="0.25">
      <c r="A93" s="14">
        <v>44348</v>
      </c>
      <c r="B93" s="25">
        <v>6.4108999999999999E-2</v>
      </c>
      <c r="M93" s="224"/>
      <c r="N93" s="94"/>
    </row>
    <row r="94" spans="1:14" x14ac:dyDescent="0.25">
      <c r="A94" s="14">
        <v>44378</v>
      </c>
      <c r="B94" s="25">
        <v>5.5905999999999997E-2</v>
      </c>
      <c r="M94" s="224"/>
      <c r="N94" s="94"/>
    </row>
    <row r="95" spans="1:14" x14ac:dyDescent="0.25">
      <c r="A95" s="14">
        <v>44409</v>
      </c>
      <c r="B95" s="25">
        <v>1.5896E-2</v>
      </c>
      <c r="M95" s="224"/>
      <c r="N95" s="94"/>
    </row>
    <row r="96" spans="1:14" x14ac:dyDescent="0.25">
      <c r="A96" s="14">
        <v>44440</v>
      </c>
      <c r="B96" s="25">
        <v>1.0808E-2</v>
      </c>
      <c r="M96" s="224"/>
      <c r="N96" s="94"/>
    </row>
    <row r="97" spans="1:14" x14ac:dyDescent="0.25">
      <c r="A97" s="14">
        <v>44470</v>
      </c>
      <c r="B97" s="25">
        <v>3.3140000000000001E-3</v>
      </c>
      <c r="M97" s="224"/>
      <c r="N97" s="94"/>
    </row>
    <row r="98" spans="1:14" x14ac:dyDescent="0.25">
      <c r="A98" s="14">
        <v>44501</v>
      </c>
      <c r="B98" s="25">
        <v>1.3951E-2</v>
      </c>
      <c r="M98" s="224"/>
      <c r="N98" s="94"/>
    </row>
    <row r="99" spans="1:14" x14ac:dyDescent="0.25">
      <c r="A99" s="14">
        <v>44531</v>
      </c>
      <c r="B99" s="25">
        <v>2.3501999999999999E-2</v>
      </c>
      <c r="M99" s="224"/>
      <c r="N99" s="94"/>
    </row>
    <row r="100" spans="1:14" x14ac:dyDescent="0.25">
      <c r="A100" s="14">
        <v>44562</v>
      </c>
      <c r="B100" s="25">
        <v>0</v>
      </c>
      <c r="M100" s="224"/>
      <c r="N100" s="94"/>
    </row>
    <row r="101" spans="1:14" x14ac:dyDescent="0.25">
      <c r="A101" s="14">
        <v>44593</v>
      </c>
      <c r="B101" s="25">
        <v>0</v>
      </c>
      <c r="M101" s="224"/>
      <c r="N101" s="94"/>
    </row>
    <row r="102" spans="1:14" x14ac:dyDescent="0.25">
      <c r="A102" s="14">
        <v>44621</v>
      </c>
      <c r="B102" s="25">
        <v>0</v>
      </c>
      <c r="M102" s="224"/>
      <c r="N102" s="94"/>
    </row>
    <row r="103" spans="1:14" x14ac:dyDescent="0.25">
      <c r="A103" s="14">
        <v>44652</v>
      </c>
      <c r="B103" s="25">
        <v>3.6059999999999998E-3</v>
      </c>
      <c r="M103" s="224"/>
      <c r="N103" s="94"/>
    </row>
    <row r="104" spans="1:14" x14ac:dyDescent="0.25">
      <c r="A104" s="14">
        <v>44682</v>
      </c>
      <c r="B104" s="25">
        <v>1.0812E-2</v>
      </c>
      <c r="M104" s="224"/>
      <c r="N104" s="94"/>
    </row>
    <row r="105" spans="1:14" x14ac:dyDescent="0.25">
      <c r="A105" s="14">
        <v>44713</v>
      </c>
      <c r="B105" s="25">
        <v>7.3559999999999997E-3</v>
      </c>
      <c r="M105" s="224"/>
      <c r="N105" s="94"/>
    </row>
    <row r="106" spans="1:14" x14ac:dyDescent="0.25">
      <c r="A106" s="14">
        <v>44743</v>
      </c>
      <c r="B106" s="25">
        <v>3.5916999999999998E-2</v>
      </c>
      <c r="M106" s="224"/>
      <c r="N106" s="94"/>
    </row>
    <row r="107" spans="1:14" x14ac:dyDescent="0.25">
      <c r="A107" s="14">
        <v>44774</v>
      </c>
      <c r="B107" s="25">
        <v>0</v>
      </c>
      <c r="M107" s="224"/>
      <c r="N107" s="94"/>
    </row>
    <row r="108" spans="1:14" x14ac:dyDescent="0.25">
      <c r="A108" s="14">
        <v>44805</v>
      </c>
      <c r="B108" s="25">
        <v>3.4480999999999998E-2</v>
      </c>
      <c r="M108" s="224"/>
      <c r="N108" s="94"/>
    </row>
    <row r="109" spans="1:14" x14ac:dyDescent="0.25">
      <c r="A109" s="14">
        <v>44835</v>
      </c>
      <c r="B109" s="25">
        <v>1.9026999999999999E-2</v>
      </c>
      <c r="M109" s="224"/>
      <c r="N109" s="94"/>
    </row>
    <row r="110" spans="1:14" x14ac:dyDescent="0.25">
      <c r="A110" s="14">
        <v>44866</v>
      </c>
      <c r="B110" s="25">
        <v>3.9620000000000002E-3</v>
      </c>
      <c r="M110" s="224"/>
      <c r="N110" s="94"/>
    </row>
    <row r="111" spans="1:14" x14ac:dyDescent="0.25">
      <c r="A111" s="14">
        <v>44896</v>
      </c>
      <c r="B111" s="25">
        <v>3.7745000000000001E-2</v>
      </c>
      <c r="M111" s="225"/>
      <c r="N111" s="226"/>
    </row>
    <row r="112" spans="1:14" x14ac:dyDescent="0.25">
      <c r="A112" s="14">
        <v>44927</v>
      </c>
      <c r="B112" s="25">
        <v>3.0950000000000001E-3</v>
      </c>
      <c r="M112" s="225"/>
      <c r="N112" s="226"/>
    </row>
    <row r="113" spans="1:14" x14ac:dyDescent="0.25">
      <c r="A113" s="14">
        <v>44958</v>
      </c>
      <c r="B113" s="25">
        <v>0</v>
      </c>
      <c r="M113" s="225"/>
      <c r="N113" s="226"/>
    </row>
    <row r="114" spans="1:14" x14ac:dyDescent="0.25">
      <c r="A114" s="14">
        <v>44986</v>
      </c>
      <c r="B114" s="25">
        <v>6.7000000000000002E-4</v>
      </c>
    </row>
    <row r="115" spans="1:14" x14ac:dyDescent="0.25">
      <c r="A115" s="14">
        <v>45017</v>
      </c>
      <c r="B115" s="25">
        <v>0</v>
      </c>
    </row>
    <row r="116" spans="1:14" x14ac:dyDescent="0.25">
      <c r="A116" s="14">
        <v>45047</v>
      </c>
      <c r="B116" s="25">
        <v>0</v>
      </c>
    </row>
    <row r="117" spans="1:14" x14ac:dyDescent="0.25">
      <c r="A117" s="14">
        <v>45078</v>
      </c>
      <c r="B117" s="25">
        <v>3.9899999999999996E-3</v>
      </c>
    </row>
    <row r="118" spans="1:14" x14ac:dyDescent="0.25">
      <c r="A118" s="14">
        <v>45108</v>
      </c>
      <c r="B118" s="25">
        <v>0</v>
      </c>
    </row>
    <row r="119" spans="1:14" x14ac:dyDescent="0.25">
      <c r="A119" s="14">
        <v>45139</v>
      </c>
      <c r="B119" s="25">
        <v>0</v>
      </c>
    </row>
    <row r="120" spans="1:14" x14ac:dyDescent="0.25">
      <c r="A120" s="14">
        <v>45170</v>
      </c>
      <c r="B120" s="25">
        <v>0</v>
      </c>
    </row>
    <row r="121" spans="1:14" x14ac:dyDescent="0.25">
      <c r="A121" s="14">
        <v>45200</v>
      </c>
      <c r="B121" s="25">
        <v>0</v>
      </c>
    </row>
    <row r="122" spans="1:14" x14ac:dyDescent="0.25">
      <c r="A122" s="14">
        <v>45231</v>
      </c>
      <c r="B122" s="25">
        <v>0</v>
      </c>
    </row>
    <row r="123" spans="1:14" x14ac:dyDescent="0.25">
      <c r="A123" s="14">
        <v>45261</v>
      </c>
      <c r="B123" s="25">
        <v>0</v>
      </c>
    </row>
    <row r="124" spans="1:14" x14ac:dyDescent="0.25">
      <c r="A124" s="14">
        <v>45292</v>
      </c>
      <c r="B124" s="25">
        <v>0</v>
      </c>
    </row>
    <row r="125" spans="1:14" x14ac:dyDescent="0.25">
      <c r="A125" s="14">
        <v>45323</v>
      </c>
      <c r="B125" s="25">
        <v>4.5170000000000002E-3</v>
      </c>
    </row>
    <row r="126" spans="1:14" x14ac:dyDescent="0.25">
      <c r="A126" s="14">
        <v>45352</v>
      </c>
      <c r="B126" s="25">
        <v>0</v>
      </c>
    </row>
    <row r="127" spans="1:14" x14ac:dyDescent="0.25">
      <c r="A127" s="14">
        <v>45383</v>
      </c>
      <c r="B127" s="25">
        <v>0</v>
      </c>
    </row>
    <row r="128" spans="1:14" x14ac:dyDescent="0.25">
      <c r="A128" s="14">
        <v>45413</v>
      </c>
      <c r="B128" s="25">
        <v>0</v>
      </c>
    </row>
    <row r="129" spans="1:2" x14ac:dyDescent="0.25">
      <c r="A129" s="14">
        <v>45444</v>
      </c>
      <c r="B129" s="25">
        <v>0</v>
      </c>
    </row>
    <row r="130" spans="1:2" x14ac:dyDescent="0.25">
      <c r="A130" s="14">
        <v>45474</v>
      </c>
      <c r="B130" s="25">
        <v>0</v>
      </c>
    </row>
    <row r="131" spans="1:2" x14ac:dyDescent="0.25">
      <c r="A131" s="14">
        <v>45505</v>
      </c>
      <c r="B131" s="25">
        <v>0</v>
      </c>
    </row>
    <row r="132" spans="1:2" x14ac:dyDescent="0.25">
      <c r="A132" s="14">
        <v>45536</v>
      </c>
      <c r="B132" s="25">
        <v>0</v>
      </c>
    </row>
    <row r="133" spans="1:2" x14ac:dyDescent="0.25">
      <c r="A133" s="14">
        <v>45566</v>
      </c>
      <c r="B133" s="25">
        <v>0</v>
      </c>
    </row>
    <row r="134" spans="1:2" x14ac:dyDescent="0.25">
      <c r="A134" s="14">
        <v>45597</v>
      </c>
      <c r="B134" s="25">
        <v>0</v>
      </c>
    </row>
    <row r="135" spans="1:2" x14ac:dyDescent="0.25">
      <c r="A135" s="14">
        <v>45627</v>
      </c>
      <c r="B135" s="25">
        <v>0</v>
      </c>
    </row>
    <row r="136" spans="1:2" x14ac:dyDescent="0.25">
      <c r="A136" s="14">
        <v>45658</v>
      </c>
      <c r="B136" s="25">
        <v>0</v>
      </c>
    </row>
    <row r="137" spans="1:2" x14ac:dyDescent="0.25">
      <c r="A137" s="14">
        <v>45689</v>
      </c>
      <c r="B137" s="25">
        <v>0</v>
      </c>
    </row>
    <row r="138" spans="1:2" x14ac:dyDescent="0.25">
      <c r="A138" s="14">
        <v>45717</v>
      </c>
      <c r="B138" s="25">
        <v>0</v>
      </c>
    </row>
    <row r="139" spans="1:2" x14ac:dyDescent="0.25">
      <c r="A139" s="14">
        <v>45748</v>
      </c>
      <c r="B139" s="25">
        <v>0</v>
      </c>
    </row>
    <row r="140" spans="1:2" x14ac:dyDescent="0.25">
      <c r="A140" s="14">
        <v>45778</v>
      </c>
      <c r="B140" s="25">
        <v>0</v>
      </c>
    </row>
    <row r="141" spans="1:2" x14ac:dyDescent="0.25">
      <c r="A141" s="14">
        <v>45809</v>
      </c>
      <c r="B141" s="25">
        <v>0</v>
      </c>
    </row>
    <row r="142" spans="1:2" x14ac:dyDescent="0.25">
      <c r="A142" s="14">
        <v>45839</v>
      </c>
      <c r="B142" s="25">
        <v>0</v>
      </c>
    </row>
    <row r="143" spans="1:2" x14ac:dyDescent="0.25">
      <c r="A143" s="14">
        <v>45870</v>
      </c>
      <c r="B143" s="25">
        <v>0</v>
      </c>
    </row>
    <row r="144" spans="1:2" x14ac:dyDescent="0.25">
      <c r="A144" s="14">
        <v>45901</v>
      </c>
      <c r="B144" s="25">
        <v>0</v>
      </c>
    </row>
    <row r="145" spans="1:3" x14ac:dyDescent="0.25">
      <c r="A145" s="14"/>
      <c r="B145" s="25"/>
    </row>
    <row r="146" spans="1:3" x14ac:dyDescent="0.25">
      <c r="A146" s="14"/>
      <c r="B146" s="25"/>
    </row>
    <row r="147" spans="1:3" x14ac:dyDescent="0.25">
      <c r="A147" s="14"/>
      <c r="B147" s="25"/>
    </row>
    <row r="148" spans="1:3" ht="75" x14ac:dyDescent="0.25">
      <c r="A148" s="27" t="str">
        <f>Pooling_Month</f>
        <v>November 2025</v>
      </c>
      <c r="B148" s="20" t="s">
        <v>139</v>
      </c>
    </row>
    <row r="149" spans="1:3" x14ac:dyDescent="0.25">
      <c r="A149" s="31" t="s">
        <v>60</v>
      </c>
      <c r="B149" s="32">
        <f>B152</f>
        <v>0</v>
      </c>
    </row>
    <row r="150" spans="1:3" ht="15.75" customHeight="1" x14ac:dyDescent="0.25"/>
    <row r="151" spans="1:3" ht="14.25" hidden="1" customHeight="1" x14ac:dyDescent="0.25">
      <c r="C151" t="s">
        <v>196</v>
      </c>
    </row>
    <row r="152" spans="1:3" ht="30" hidden="1" x14ac:dyDescent="0.25">
      <c r="A152" s="40" t="s">
        <v>214</v>
      </c>
      <c r="B152" s="95">
        <f>B134-B132</f>
        <v>0</v>
      </c>
    </row>
    <row r="153" spans="1:3" hidden="1" x14ac:dyDescent="0.25">
      <c r="A153" s="93" t="s">
        <v>215</v>
      </c>
      <c r="B153" s="95">
        <f>B144</f>
        <v>0</v>
      </c>
    </row>
    <row r="154" spans="1:3" hidden="1" x14ac:dyDescent="0.25">
      <c r="A154" s="91" t="s">
        <v>211</v>
      </c>
      <c r="B154" s="95">
        <f>SUM(B152:B153)</f>
        <v>0</v>
      </c>
      <c r="C154" t="s">
        <v>203</v>
      </c>
    </row>
    <row r="155" spans="1:3" hidden="1" x14ac:dyDescent="0.25">
      <c r="A155" s="92" t="s">
        <v>206</v>
      </c>
      <c r="B155" s="95">
        <f>B134</f>
        <v>0</v>
      </c>
      <c r="C155" t="s">
        <v>202</v>
      </c>
    </row>
    <row r="156" spans="1:3" hidden="1" x14ac:dyDescent="0.25">
      <c r="A156" t="s">
        <v>83</v>
      </c>
      <c r="B156" s="95">
        <f>AVERAGE(B154:B155)</f>
        <v>0</v>
      </c>
    </row>
    <row r="157" spans="1:3" hidden="1" x14ac:dyDescent="0.25">
      <c r="B157" s="95"/>
    </row>
    <row r="158" spans="1:3" hidden="1" x14ac:dyDescent="0.25">
      <c r="A158" s="92" t="s">
        <v>207</v>
      </c>
      <c r="B158" s="95">
        <f>B122</f>
        <v>0</v>
      </c>
    </row>
    <row r="159" spans="1:3" hidden="1" x14ac:dyDescent="0.25">
      <c r="A159" s="91" t="s">
        <v>208</v>
      </c>
      <c r="B159" s="25">
        <f>B110</f>
        <v>3.9620000000000002E-3</v>
      </c>
    </row>
    <row r="160" spans="1:3" ht="30" hidden="1" x14ac:dyDescent="0.25">
      <c r="A160" s="40" t="s">
        <v>209</v>
      </c>
      <c r="B160" s="25">
        <f>AVERAGE(B154,B155,B158,B159)</f>
        <v>9.9050000000000006E-4</v>
      </c>
    </row>
    <row r="161" spans="1:4" hidden="1" x14ac:dyDescent="0.25">
      <c r="A161" s="40" t="s">
        <v>212</v>
      </c>
      <c r="B161" s="25">
        <f>AVERAGE(B154,B155,B158)</f>
        <v>0</v>
      </c>
    </row>
    <row r="166" spans="1:4" x14ac:dyDescent="0.25">
      <c r="D166" s="218"/>
    </row>
  </sheetData>
  <sheetProtection algorithmName="SHA-512" hashValue="q1DbJsSwSoOpPOZQJ88Cm3r/Sm3wT4JHst7ZmY9d+/+uqrL5lAhMpO6Z8mxwBOT4NdS1WkBVt/Ayvx4bGg2e3A==" saltValue="yZ+WtK5tFteyGH2cXZnzD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9" tint="0.59999389629810485"/>
    <pageSetUpPr fitToPage="1"/>
  </sheetPr>
  <dimension ref="A1:I51"/>
  <sheetViews>
    <sheetView tabSelected="1" topLeftCell="A4" zoomScale="75" zoomScaleNormal="75" workbookViewId="0">
      <selection activeCell="I6" sqref="I6"/>
    </sheetView>
  </sheetViews>
  <sheetFormatPr defaultRowHeight="15" x14ac:dyDescent="0.25"/>
  <cols>
    <col min="1" max="1" width="58.5703125" customWidth="1"/>
    <col min="2" max="2" width="24.85546875" customWidth="1"/>
    <col min="3" max="3" width="19.28515625" bestFit="1" customWidth="1"/>
    <col min="4" max="4" width="17.28515625" customWidth="1"/>
    <col min="5" max="5" width="2.7109375" customWidth="1"/>
    <col min="6" max="6" width="37" customWidth="1"/>
    <col min="7" max="7" width="20.140625" customWidth="1"/>
    <col min="8" max="8" width="18.42578125" customWidth="1"/>
    <col min="9" max="9" width="17.28515625" customWidth="1"/>
  </cols>
  <sheetData>
    <row r="1" spans="1:9" ht="26.25" x14ac:dyDescent="0.4">
      <c r="A1" s="276" t="s">
        <v>59</v>
      </c>
      <c r="B1" s="276"/>
      <c r="C1" s="276"/>
      <c r="D1" s="276"/>
      <c r="E1" s="276"/>
      <c r="F1" s="276"/>
      <c r="G1" s="276"/>
      <c r="H1" s="276"/>
      <c r="I1" s="276"/>
    </row>
    <row r="2" spans="1:9" ht="23.25" x14ac:dyDescent="0.35">
      <c r="A2" s="275" t="str">
        <f>'Quota Price Estimator'!B4</f>
        <v>November 2025</v>
      </c>
      <c r="B2" s="275"/>
      <c r="C2" s="275"/>
      <c r="D2" s="275"/>
      <c r="E2" s="275"/>
      <c r="F2" s="275"/>
      <c r="G2" s="275"/>
      <c r="H2" s="275"/>
      <c r="I2" s="275"/>
    </row>
    <row r="3" spans="1:9" ht="19.5" thickBot="1" x14ac:dyDescent="0.35">
      <c r="A3" s="26"/>
      <c r="B3" s="6"/>
      <c r="C3" s="6"/>
      <c r="D3" s="6"/>
      <c r="E3" s="6"/>
      <c r="F3" s="6"/>
      <c r="G3" s="6"/>
      <c r="H3" s="6"/>
      <c r="I3" s="6"/>
    </row>
    <row r="4" spans="1:9" ht="215.1" customHeight="1" thickBot="1" x14ac:dyDescent="0.35">
      <c r="A4" s="270" t="s">
        <v>82</v>
      </c>
      <c r="B4" s="271"/>
      <c r="C4" s="271"/>
      <c r="D4" s="271"/>
      <c r="E4" s="271"/>
      <c r="F4" s="271"/>
      <c r="G4" s="271"/>
      <c r="H4" s="271"/>
      <c r="I4" s="272"/>
    </row>
    <row r="5" spans="1:9" ht="19.5" customHeight="1" thickBot="1" x14ac:dyDescent="0.35">
      <c r="A5" s="26"/>
      <c r="B5" s="6"/>
      <c r="C5" s="6"/>
      <c r="D5" s="6"/>
      <c r="E5" s="6"/>
      <c r="F5" s="6"/>
      <c r="G5" s="6"/>
      <c r="H5" s="6"/>
      <c r="I5" s="6"/>
    </row>
    <row r="6" spans="1:9" ht="72.75" customHeight="1" thickBot="1" x14ac:dyDescent="0.4">
      <c r="A6" s="273" t="s">
        <v>200</v>
      </c>
      <c r="B6" s="274"/>
      <c r="C6" s="274"/>
      <c r="D6" s="274"/>
      <c r="E6" s="274"/>
      <c r="F6" s="274"/>
      <c r="G6" s="274"/>
      <c r="H6" s="6"/>
      <c r="I6" s="43"/>
    </row>
    <row r="8" spans="1:9" ht="63" x14ac:dyDescent="0.25">
      <c r="A8" s="10" t="s">
        <v>14</v>
      </c>
      <c r="B8" s="77" t="s">
        <v>47</v>
      </c>
      <c r="C8" s="77" t="s">
        <v>2</v>
      </c>
      <c r="D8" s="77" t="s">
        <v>3</v>
      </c>
      <c r="E8" s="77"/>
      <c r="F8" s="78"/>
      <c r="G8" s="79" t="s">
        <v>58</v>
      </c>
      <c r="H8" s="1"/>
      <c r="I8" s="1"/>
    </row>
    <row r="9" spans="1:9" ht="15.75" x14ac:dyDescent="0.25">
      <c r="A9" s="80" t="s">
        <v>4</v>
      </c>
      <c r="B9" s="221">
        <f>QuotaButterfatPrice*3.5+QuotaSkimPrice*96.5</f>
        <v>21.821636425784138</v>
      </c>
      <c r="C9" s="81">
        <f>QuotaButterfatPrice</f>
        <v>1.8429657949999996</v>
      </c>
      <c r="D9" s="82">
        <f>QuotaSkimPrice</f>
        <v>0.15928762842781494</v>
      </c>
      <c r="E9" s="82"/>
      <c r="F9" s="83"/>
      <c r="G9" s="84">
        <f>(QuotaButterfatPrice*PoolButterfatPercent*100)+(QuotaSkimPrice*(100-PoolButterfatPercent*100))</f>
        <v>22.98691008486875</v>
      </c>
      <c r="H9" s="1"/>
      <c r="I9" s="1"/>
    </row>
    <row r="10" spans="1:9" ht="15.75" x14ac:dyDescent="0.25">
      <c r="A10" s="85" t="s">
        <v>5</v>
      </c>
      <c r="B10" s="222">
        <f>ExcessButterfatPrice*3.5+ExcessSkimPrice*96.5</f>
        <v>20.321636425784138</v>
      </c>
      <c r="C10" s="86">
        <f>ExcessButterfatPrice</f>
        <v>1.8279657949999997</v>
      </c>
      <c r="D10" s="87">
        <f>ExcessSkimPrice</f>
        <v>0.14428762842781492</v>
      </c>
      <c r="E10" s="87"/>
      <c r="F10" s="88"/>
      <c r="G10" s="89">
        <f>(ExcessButterfatPrice*PoolButterfatPercent*100)+(ExcessSkimPrice*(100-PoolButterfatPercent*100))</f>
        <v>21.486910084868747</v>
      </c>
      <c r="H10" s="1"/>
      <c r="I10" s="1"/>
    </row>
    <row r="11" spans="1:9" x14ac:dyDescent="0.25">
      <c r="A11" s="2"/>
      <c r="B11" s="1"/>
      <c r="C11" s="1"/>
      <c r="D11" s="1"/>
      <c r="E11" s="1"/>
      <c r="F11" s="1"/>
      <c r="G11" s="1"/>
      <c r="H11" s="1"/>
      <c r="I11" s="1"/>
    </row>
    <row r="12" spans="1:9" ht="15.75" x14ac:dyDescent="0.25">
      <c r="A12" s="11" t="s">
        <v>13</v>
      </c>
      <c r="B12" s="44"/>
      <c r="C12" s="44"/>
      <c r="D12" s="44"/>
      <c r="E12" s="44"/>
      <c r="F12" s="44"/>
      <c r="G12" s="45" t="s">
        <v>10</v>
      </c>
      <c r="H12" s="45" t="s">
        <v>11</v>
      </c>
      <c r="I12" s="46" t="s">
        <v>12</v>
      </c>
    </row>
    <row r="13" spans="1:9" ht="15.75" x14ac:dyDescent="0.25">
      <c r="A13" s="47" t="s">
        <v>36</v>
      </c>
      <c r="B13" s="117"/>
      <c r="C13" s="48"/>
      <c r="D13" s="48"/>
      <c r="E13" s="48"/>
      <c r="F13" s="48" t="s">
        <v>7</v>
      </c>
      <c r="G13" s="49">
        <f>G15-G14</f>
        <v>0</v>
      </c>
      <c r="H13" s="49">
        <f>H15-H14</f>
        <v>0</v>
      </c>
      <c r="I13" s="50">
        <f>I15-I14</f>
        <v>0</v>
      </c>
    </row>
    <row r="14" spans="1:9" ht="15.75" x14ac:dyDescent="0.25">
      <c r="A14" s="47" t="s">
        <v>37</v>
      </c>
      <c r="B14" s="117"/>
      <c r="C14" s="48"/>
      <c r="D14" s="48"/>
      <c r="E14" s="48"/>
      <c r="F14" s="51" t="s">
        <v>8</v>
      </c>
      <c r="G14" s="52">
        <f>IF(Est_Dairy_Daily_Production&gt;Dairy_Daily_Quota,(Est_Dairy_Daily_Production-Dairy_Daily_Quota)*DaysPerMonth,0)</f>
        <v>0</v>
      </c>
      <c r="H14" s="52">
        <f>G14*DairyButterfatPercent</f>
        <v>0</v>
      </c>
      <c r="I14" s="53">
        <f>G14-H14</f>
        <v>0</v>
      </c>
    </row>
    <row r="15" spans="1:9" ht="15.75" x14ac:dyDescent="0.25">
      <c r="A15" s="47" t="s">
        <v>48</v>
      </c>
      <c r="B15" s="118"/>
      <c r="C15" s="48"/>
      <c r="D15" s="48"/>
      <c r="E15" s="48"/>
      <c r="F15" s="48" t="s">
        <v>9</v>
      </c>
      <c r="G15" s="49">
        <f>Est_Dairy_Daily_Production*DaysPerMonth</f>
        <v>0</v>
      </c>
      <c r="H15" s="49">
        <f>G15*DairyButterfatPercent</f>
        <v>0</v>
      </c>
      <c r="I15" s="50">
        <f>G15-H15</f>
        <v>0</v>
      </c>
    </row>
    <row r="16" spans="1:9" ht="15.75" x14ac:dyDescent="0.25">
      <c r="A16" s="54"/>
      <c r="B16" s="48"/>
      <c r="C16" s="48"/>
      <c r="D16" s="48"/>
      <c r="E16" s="48"/>
      <c r="F16" s="48"/>
      <c r="G16" s="48"/>
      <c r="H16" s="48"/>
      <c r="I16" s="55"/>
    </row>
    <row r="17" spans="1:9" ht="47.25" x14ac:dyDescent="0.25">
      <c r="A17" s="56" t="s">
        <v>6</v>
      </c>
      <c r="B17" s="57" t="s">
        <v>49</v>
      </c>
      <c r="C17" s="57"/>
      <c r="D17" s="57"/>
      <c r="E17" s="57"/>
      <c r="F17" s="58" t="s">
        <v>86</v>
      </c>
      <c r="G17" s="59" t="s">
        <v>31</v>
      </c>
      <c r="H17" s="59" t="s">
        <v>29</v>
      </c>
      <c r="I17" s="60" t="s">
        <v>30</v>
      </c>
    </row>
    <row r="18" spans="1:9" ht="15.75" x14ac:dyDescent="0.25">
      <c r="A18" s="61" t="s">
        <v>4</v>
      </c>
      <c r="B18" s="62" t="str">
        <f>IF(Est_Dairy_Daily_Production=0,"",(QuotaButterfatPrice*DairyButterfatPercent*100)+(QuotaSkimPrice*(100-(DairyButterfatPercent*100))))</f>
        <v/>
      </c>
      <c r="C18" s="63"/>
      <c r="D18" s="64"/>
      <c r="E18" s="65"/>
      <c r="F18" s="48" t="s">
        <v>7</v>
      </c>
      <c r="G18" s="66">
        <f>SUM(H18:I18)</f>
        <v>0</v>
      </c>
      <c r="H18" s="66">
        <f>H13*QuotaButterfatPrice</f>
        <v>0</v>
      </c>
      <c r="I18" s="67">
        <f>I13*QuotaSkimPrice</f>
        <v>0</v>
      </c>
    </row>
    <row r="19" spans="1:9" ht="15.75" x14ac:dyDescent="0.25">
      <c r="A19" s="61" t="s">
        <v>5</v>
      </c>
      <c r="B19" s="62" t="str">
        <f>IF(Est_Dairy_Daily_Production=0,"",(ExcessButterfatPrice*DairyButterfatPercent*100)+(ExcessSkimPrice*(100-(DairyButterfatPercent*100))))</f>
        <v/>
      </c>
      <c r="C19" s="63"/>
      <c r="D19" s="64"/>
      <c r="E19" s="65"/>
      <c r="F19" s="51" t="s">
        <v>8</v>
      </c>
      <c r="G19" s="68">
        <f>SUM(H19:I19)</f>
        <v>0</v>
      </c>
      <c r="H19" s="68">
        <f>H14*ExcessButterfatPrice</f>
        <v>0</v>
      </c>
      <c r="I19" s="69">
        <f>I14*ExcessSkimPrice</f>
        <v>0</v>
      </c>
    </row>
    <row r="20" spans="1:9" ht="16.5" thickBot="1" x14ac:dyDescent="0.3">
      <c r="A20" s="70" t="s">
        <v>43</v>
      </c>
      <c r="B20" s="71" t="str">
        <f>IF(G15=0,"",ROUND(G20/(G15/100),4))</f>
        <v/>
      </c>
      <c r="C20" s="48"/>
      <c r="D20" s="72"/>
      <c r="E20" s="48"/>
      <c r="F20" s="73" t="s">
        <v>9</v>
      </c>
      <c r="G20" s="74">
        <f>SUM(G18:G19)</f>
        <v>0</v>
      </c>
      <c r="H20" s="66">
        <f>SUM(H18:H19)</f>
        <v>0</v>
      </c>
      <c r="I20" s="67">
        <f>SUM(I18:I19)</f>
        <v>0</v>
      </c>
    </row>
    <row r="21" spans="1:9" ht="16.5" thickTop="1" x14ac:dyDescent="0.25">
      <c r="A21" s="75"/>
      <c r="B21" s="51"/>
      <c r="C21" s="51"/>
      <c r="D21" s="51"/>
      <c r="E21" s="51"/>
      <c r="F21" s="51"/>
      <c r="G21" s="51"/>
      <c r="H21" s="51"/>
      <c r="I21" s="76"/>
    </row>
    <row r="25" spans="1:9" ht="15.75" x14ac:dyDescent="0.25">
      <c r="A25" t="s">
        <v>99</v>
      </c>
      <c r="B25" s="114"/>
      <c r="F25" s="102" t="s">
        <v>111</v>
      </c>
      <c r="G25" s="103"/>
    </row>
    <row r="26" spans="1:9" ht="15.75" x14ac:dyDescent="0.25">
      <c r="A26" t="s">
        <v>112</v>
      </c>
      <c r="B26" s="115"/>
      <c r="F26" s="104"/>
      <c r="G26" s="105"/>
    </row>
    <row r="27" spans="1:9" ht="15.75" x14ac:dyDescent="0.25">
      <c r="F27" s="104" t="s">
        <v>98</v>
      </c>
      <c r="G27" s="106">
        <f>G20</f>
        <v>0</v>
      </c>
    </row>
    <row r="28" spans="1:9" ht="16.5" customHeight="1" x14ac:dyDescent="0.25">
      <c r="A28" t="s">
        <v>87</v>
      </c>
      <c r="B28" s="114"/>
      <c r="F28" s="104" t="s">
        <v>100</v>
      </c>
      <c r="G28" s="106">
        <f>ROUND(($G$15/100)*B25+B26,2)</f>
        <v>0</v>
      </c>
    </row>
    <row r="29" spans="1:9" ht="15.75" hidden="1" x14ac:dyDescent="0.25">
      <c r="B29" s="116"/>
      <c r="F29" s="104"/>
      <c r="G29" s="105"/>
    </row>
    <row r="30" spans="1:9" ht="23.25" hidden="1" x14ac:dyDescent="0.35">
      <c r="B30" s="116"/>
      <c r="F30" s="104"/>
      <c r="G30" s="105"/>
      <c r="I30" s="41"/>
    </row>
    <row r="31" spans="1:9" ht="23.25" hidden="1" x14ac:dyDescent="0.35">
      <c r="B31" s="116"/>
      <c r="F31" s="104"/>
      <c r="G31" s="105"/>
      <c r="I31" s="42" t="s">
        <v>80</v>
      </c>
    </row>
    <row r="32" spans="1:9" ht="23.25" hidden="1" x14ac:dyDescent="0.35">
      <c r="B32" s="116"/>
      <c r="F32" s="104"/>
      <c r="G32" s="105"/>
      <c r="I32" s="42" t="s">
        <v>81</v>
      </c>
    </row>
    <row r="33" spans="1:7" ht="15.75" hidden="1" x14ac:dyDescent="0.25">
      <c r="B33" s="116"/>
      <c r="F33" s="104"/>
      <c r="G33" s="105"/>
    </row>
    <row r="34" spans="1:7" ht="15.75" x14ac:dyDescent="0.25">
      <c r="A34" t="s">
        <v>88</v>
      </c>
      <c r="B34" s="115"/>
      <c r="F34" s="104" t="s">
        <v>101</v>
      </c>
      <c r="G34" s="106">
        <f>-ROUND(($G$15/100)*B28+B34+B35,2)</f>
        <v>0</v>
      </c>
    </row>
    <row r="35" spans="1:7" ht="15.75" x14ac:dyDescent="0.25">
      <c r="A35" t="s">
        <v>89</v>
      </c>
      <c r="B35" s="115"/>
      <c r="F35" s="104" t="s">
        <v>102</v>
      </c>
      <c r="G35" s="106">
        <f>-ROUND(($G$15/100)*B37,2)</f>
        <v>0</v>
      </c>
    </row>
    <row r="36" spans="1:7" ht="15.75" x14ac:dyDescent="0.25">
      <c r="F36" s="104" t="s">
        <v>103</v>
      </c>
      <c r="G36" s="106">
        <f>-ROUND(IF(($G$15/100)*B39&gt;B41,B41,IF(($G$15/100)*B39&lt;B40,B40,($G$15/100)*B39)),2)</f>
        <v>-50</v>
      </c>
    </row>
    <row r="37" spans="1:7" ht="15.75" x14ac:dyDescent="0.25">
      <c r="A37" t="s">
        <v>90</v>
      </c>
      <c r="B37" s="254">
        <v>0.02</v>
      </c>
      <c r="F37" s="104" t="s">
        <v>93</v>
      </c>
      <c r="G37" s="106">
        <f>-ROUND(($G$15/100)*B43,2)</f>
        <v>0</v>
      </c>
    </row>
    <row r="38" spans="1:7" ht="15.75" x14ac:dyDescent="0.25">
      <c r="B38" s="242"/>
      <c r="F38" s="104" t="s">
        <v>104</v>
      </c>
      <c r="G38" s="106">
        <f>-ROUND(($G$15/100)*B45+B46,2)</f>
        <v>0</v>
      </c>
    </row>
    <row r="39" spans="1:7" ht="15.75" x14ac:dyDescent="0.25">
      <c r="A39" s="40" t="s">
        <v>92</v>
      </c>
      <c r="B39" s="241">
        <v>0.14000000000000001</v>
      </c>
      <c r="F39" s="107" t="s">
        <v>105</v>
      </c>
      <c r="G39" s="108">
        <f>-ROUND(($G$15/100)*B48+B49,2)</f>
        <v>0</v>
      </c>
    </row>
    <row r="40" spans="1:7" ht="15.75" x14ac:dyDescent="0.25">
      <c r="A40" t="s">
        <v>91</v>
      </c>
      <c r="B40" s="243">
        <v>50</v>
      </c>
      <c r="F40" s="102" t="s">
        <v>106</v>
      </c>
      <c r="G40" s="109">
        <f>SUM(G27:G39)</f>
        <v>-50</v>
      </c>
    </row>
    <row r="41" spans="1:7" ht="15.75" x14ac:dyDescent="0.25">
      <c r="A41" t="s">
        <v>91</v>
      </c>
      <c r="B41" s="243">
        <v>1050</v>
      </c>
      <c r="F41" s="107" t="s">
        <v>107</v>
      </c>
      <c r="G41" s="108">
        <f>-B51</f>
        <v>0</v>
      </c>
    </row>
    <row r="42" spans="1:7" ht="15.75" x14ac:dyDescent="0.25">
      <c r="B42" s="242"/>
      <c r="F42" s="104" t="s">
        <v>108</v>
      </c>
      <c r="G42" s="106">
        <f>SUM(G40:G41)</f>
        <v>-50</v>
      </c>
    </row>
    <row r="43" spans="1:7" x14ac:dyDescent="0.25">
      <c r="A43" t="s">
        <v>94</v>
      </c>
      <c r="B43" s="241">
        <v>0.15</v>
      </c>
      <c r="F43" s="110"/>
      <c r="G43" s="111"/>
    </row>
    <row r="44" spans="1:7" x14ac:dyDescent="0.25">
      <c r="F44" s="110"/>
      <c r="G44" s="111"/>
    </row>
    <row r="45" spans="1:7" x14ac:dyDescent="0.25">
      <c r="A45" t="s">
        <v>95</v>
      </c>
      <c r="B45" s="114"/>
      <c r="F45" s="112" t="s">
        <v>110</v>
      </c>
      <c r="G45" s="113" t="str">
        <f>IF(G15=0,"",ROUND(G40/(G15/100),4))</f>
        <v/>
      </c>
    </row>
    <row r="46" spans="1:7" x14ac:dyDescent="0.25">
      <c r="A46" t="s">
        <v>96</v>
      </c>
      <c r="B46" s="115"/>
    </row>
    <row r="48" spans="1:7" x14ac:dyDescent="0.25">
      <c r="A48" t="s">
        <v>113</v>
      </c>
      <c r="B48" s="114"/>
    </row>
    <row r="49" spans="1:2" x14ac:dyDescent="0.25">
      <c r="A49" t="s">
        <v>97</v>
      </c>
      <c r="B49" s="115"/>
    </row>
    <row r="51" spans="1:2" x14ac:dyDescent="0.25">
      <c r="A51" t="s">
        <v>109</v>
      </c>
      <c r="B51" s="115"/>
    </row>
  </sheetData>
  <sheetProtection algorithmName="SHA-512" hashValue="Fzz5gPRudVCezDeIGG/KKXTym8wdyg2jn6I5BFF7Bpf75sE+ASD/L5+sh6H2lmNVLKR0mymI4iHhJo3t9X70yA==" saltValue="SByfEHMu1rc20b8cOzLQ4A==" spinCount="100000" sheet="1" objects="1" scenarios="1"/>
  <mergeCells count="4">
    <mergeCell ref="A4:I4"/>
    <mergeCell ref="A6:G6"/>
    <mergeCell ref="A2:I2"/>
    <mergeCell ref="A1:I1"/>
  </mergeCells>
  <conditionalFormatting sqref="B13:B15">
    <cfRule type="expression" dxfId="12" priority="1">
      <formula>$I$6="YES"</formula>
    </cfRule>
  </conditionalFormatting>
  <conditionalFormatting sqref="B18:B20">
    <cfRule type="expression" dxfId="11" priority="2">
      <formula>$I$6="YES"</formula>
    </cfRule>
  </conditionalFormatting>
  <conditionalFormatting sqref="B9:G10">
    <cfRule type="expression" dxfId="10" priority="5">
      <formula>$I$6="YES"</formula>
    </cfRule>
  </conditionalFormatting>
  <conditionalFormatting sqref="G13:I15">
    <cfRule type="expression" dxfId="9" priority="4">
      <formula>$I$6="YES"</formula>
    </cfRule>
  </conditionalFormatting>
  <conditionalFormatting sqref="G18:I20">
    <cfRule type="expression" dxfId="8" priority="3">
      <formula>$I$6="YES"</formula>
    </cfRule>
  </conditionalFormatting>
  <dataValidations count="1">
    <dataValidation type="list" showInputMessage="1" showErrorMessage="1" sqref="I6" xr:uid="{00000000-0002-0000-0100-000000000000}">
      <formula1>$I$30:$I$32</formula1>
    </dataValidation>
  </dataValidations>
  <pageMargins left="0.25" right="0.25"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39997558519241921"/>
    <pageSetUpPr fitToPage="1"/>
  </sheetPr>
  <dimension ref="A1:P91"/>
  <sheetViews>
    <sheetView topLeftCell="A2" workbookViewId="0">
      <selection activeCell="A27" sqref="A27"/>
    </sheetView>
  </sheetViews>
  <sheetFormatPr defaultColWidth="9.140625" defaultRowHeight="15" x14ac:dyDescent="0.25"/>
  <cols>
    <col min="1" max="1" width="46.140625" style="1" customWidth="1"/>
    <col min="2" max="3" width="19.140625" style="1" bestFit="1" customWidth="1"/>
    <col min="4" max="4" width="18.140625" style="1" bestFit="1" customWidth="1"/>
    <col min="5" max="5" width="3.5703125" style="1" customWidth="1"/>
    <col min="6" max="6" width="24.7109375" style="1" customWidth="1"/>
    <col min="7" max="7" width="15" style="1" customWidth="1"/>
    <col min="8" max="8" width="18" style="1" customWidth="1"/>
    <col min="9" max="9" width="16.85546875" style="1" customWidth="1"/>
    <col min="10" max="12" width="14.85546875" style="1" customWidth="1"/>
    <col min="13" max="13" width="12.140625" style="1" customWidth="1"/>
    <col min="14" max="14" width="13.7109375" style="237" customWidth="1"/>
    <col min="15" max="15" width="13.5703125" style="237" customWidth="1"/>
    <col min="16" max="16" width="13.85546875" style="237" customWidth="1"/>
    <col min="17" max="16384" width="9.140625" style="1"/>
  </cols>
  <sheetData>
    <row r="1" spans="1:13" ht="21" x14ac:dyDescent="0.35">
      <c r="A1" s="9" t="s">
        <v>191</v>
      </c>
      <c r="B1" s="7"/>
      <c r="C1" s="7"/>
      <c r="D1" s="7"/>
      <c r="E1" s="7"/>
      <c r="F1" s="7"/>
      <c r="G1" s="7"/>
      <c r="H1" s="7"/>
      <c r="I1" s="7"/>
    </row>
    <row r="2" spans="1:13" ht="18.75" x14ac:dyDescent="0.3">
      <c r="A2" s="258" t="str">
        <f>Pooling_Month</f>
        <v>November 2025</v>
      </c>
      <c r="B2" s="7"/>
      <c r="C2" s="7"/>
      <c r="D2" s="7"/>
      <c r="E2" s="7"/>
      <c r="F2" s="7"/>
      <c r="G2" s="7"/>
      <c r="H2" s="7"/>
      <c r="I2" s="7"/>
    </row>
    <row r="3" spans="1:13" ht="15.75" thickBot="1" x14ac:dyDescent="0.3">
      <c r="A3" s="8"/>
      <c r="B3" s="7"/>
      <c r="C3" s="7"/>
      <c r="D3" s="7"/>
      <c r="E3" s="7"/>
      <c r="F3" s="7"/>
      <c r="G3" s="7"/>
      <c r="H3" s="7"/>
      <c r="I3" s="7"/>
    </row>
    <row r="4" spans="1:13" ht="15.75" x14ac:dyDescent="0.25">
      <c r="A4" s="122" t="s">
        <v>0</v>
      </c>
      <c r="B4" s="259" t="s">
        <v>204</v>
      </c>
      <c r="C4" s="123"/>
      <c r="D4" s="123"/>
      <c r="E4" s="123"/>
      <c r="F4" s="123"/>
      <c r="G4" s="123"/>
      <c r="H4" s="123"/>
      <c r="I4" s="124"/>
    </row>
    <row r="5" spans="1:13" ht="15.75" x14ac:dyDescent="0.25">
      <c r="A5" s="125" t="s">
        <v>1</v>
      </c>
      <c r="B5" s="126">
        <f>DAY(DATE(YEAR(Pooling_Month),MONTH(Pooling_Month)+1,0))</f>
        <v>30</v>
      </c>
      <c r="C5" s="126"/>
      <c r="D5" s="126"/>
      <c r="E5" s="126"/>
      <c r="F5" s="126"/>
      <c r="G5" s="126"/>
      <c r="H5" s="126"/>
      <c r="I5" s="127"/>
    </row>
    <row r="6" spans="1:13" ht="15.75" x14ac:dyDescent="0.25">
      <c r="A6" s="128" t="s">
        <v>50</v>
      </c>
      <c r="B6" s="129">
        <f>PoolDailyProd</f>
        <v>487779</v>
      </c>
      <c r="C6" s="126"/>
      <c r="D6" s="126"/>
      <c r="E6" s="126"/>
      <c r="F6" s="126"/>
      <c r="G6" s="126"/>
      <c r="H6" s="126"/>
      <c r="I6" s="127"/>
    </row>
    <row r="7" spans="1:13" ht="15.75" x14ac:dyDescent="0.25">
      <c r="A7" s="128" t="s">
        <v>15</v>
      </c>
      <c r="B7" s="130">
        <f>PoolButterfatPercent</f>
        <v>4.1921E-2</v>
      </c>
      <c r="C7" s="126"/>
      <c r="D7" s="126"/>
      <c r="E7" s="126"/>
      <c r="F7" s="126"/>
      <c r="G7" s="126"/>
      <c r="H7" s="126"/>
      <c r="I7" s="127"/>
    </row>
    <row r="8" spans="1:13" ht="15.75" x14ac:dyDescent="0.25">
      <c r="A8" s="128" t="s">
        <v>51</v>
      </c>
      <c r="B8" s="130">
        <f>PoolOverQuotaProdPerc</f>
        <v>1.4473E-2</v>
      </c>
      <c r="C8" s="126"/>
      <c r="D8" s="126"/>
      <c r="E8" s="126"/>
      <c r="F8" s="126"/>
      <c r="G8" s="126"/>
      <c r="H8" s="126"/>
      <c r="I8" s="127"/>
    </row>
    <row r="9" spans="1:13" ht="15.75" x14ac:dyDescent="0.25">
      <c r="A9" s="131"/>
      <c r="B9" s="126"/>
      <c r="C9" s="126"/>
      <c r="D9" s="126"/>
      <c r="E9" s="126"/>
      <c r="F9" s="126"/>
      <c r="G9" s="126"/>
      <c r="H9" s="126"/>
      <c r="I9" s="127"/>
    </row>
    <row r="10" spans="1:13" ht="15.75" x14ac:dyDescent="0.25">
      <c r="A10" s="132" t="s">
        <v>16</v>
      </c>
      <c r="B10" s="133" t="s">
        <v>10</v>
      </c>
      <c r="C10" s="133" t="s">
        <v>11</v>
      </c>
      <c r="D10" s="133" t="s">
        <v>12</v>
      </c>
      <c r="E10" s="133"/>
      <c r="F10" s="126"/>
      <c r="G10" s="126"/>
      <c r="H10" s="126"/>
      <c r="I10" s="127"/>
    </row>
    <row r="11" spans="1:13" ht="15.75" x14ac:dyDescent="0.25">
      <c r="A11" s="134" t="s">
        <v>17</v>
      </c>
      <c r="B11" s="135">
        <f>B13-B12</f>
        <v>14421581.235990001</v>
      </c>
      <c r="C11" s="135">
        <f>C13-C12</f>
        <v>604567.1069939367</v>
      </c>
      <c r="D11" s="135">
        <f>D13-D12</f>
        <v>13817014.128996063</v>
      </c>
      <c r="E11" s="135"/>
      <c r="F11" s="126"/>
      <c r="G11" s="126"/>
      <c r="H11" s="126"/>
      <c r="I11" s="127"/>
    </row>
    <row r="12" spans="1:13" ht="15.75" x14ac:dyDescent="0.25">
      <c r="A12" s="136" t="s">
        <v>18</v>
      </c>
      <c r="B12" s="137">
        <f>B13*PoolOverQuotaProdPerc</f>
        <v>211788.76400999998</v>
      </c>
      <c r="C12" s="137">
        <f>B12*PoolButterfatPercent</f>
        <v>8878.3967760632095</v>
      </c>
      <c r="D12" s="137">
        <f>B12-C12</f>
        <v>202910.36723393676</v>
      </c>
      <c r="E12" s="135"/>
      <c r="F12" s="126"/>
      <c r="G12" s="126"/>
      <c r="H12" s="126"/>
      <c r="I12" s="127"/>
    </row>
    <row r="13" spans="1:13" ht="15.75" x14ac:dyDescent="0.25">
      <c r="A13" s="134" t="s">
        <v>19</v>
      </c>
      <c r="B13" s="135">
        <f>PoolDailyProd*DaysPerMonth</f>
        <v>14633370</v>
      </c>
      <c r="C13" s="135">
        <f>B13*PoolButterfatPercent</f>
        <v>613445.50376999995</v>
      </c>
      <c r="D13" s="135">
        <f>B13-C13</f>
        <v>14019924.496230001</v>
      </c>
      <c r="E13" s="135"/>
      <c r="F13" s="126"/>
      <c r="G13" s="126"/>
      <c r="H13" s="126"/>
      <c r="I13" s="127"/>
    </row>
    <row r="14" spans="1:13" ht="15.75" x14ac:dyDescent="0.25">
      <c r="A14" s="131"/>
      <c r="B14" s="126"/>
      <c r="C14" s="126"/>
      <c r="D14" s="126"/>
      <c r="E14" s="126"/>
      <c r="F14" s="126"/>
      <c r="G14" s="126"/>
      <c r="H14" s="126"/>
      <c r="I14" s="127"/>
    </row>
    <row r="15" spans="1:13" ht="31.5" x14ac:dyDescent="0.25">
      <c r="A15" s="132" t="s">
        <v>20</v>
      </c>
      <c r="B15" s="133" t="s">
        <v>10</v>
      </c>
      <c r="C15" s="133" t="s">
        <v>11</v>
      </c>
      <c r="D15" s="133" t="s">
        <v>12</v>
      </c>
      <c r="E15" s="133"/>
      <c r="F15" s="126"/>
      <c r="G15" s="138" t="s">
        <v>42</v>
      </c>
      <c r="H15" s="133" t="s">
        <v>24</v>
      </c>
      <c r="I15" s="139" t="s">
        <v>25</v>
      </c>
    </row>
    <row r="16" spans="1:13" ht="15.75" x14ac:dyDescent="0.25">
      <c r="A16" s="134" t="s">
        <v>21</v>
      </c>
      <c r="B16" s="135">
        <f>SUM(C16:D16)</f>
        <v>12940130.308692142</v>
      </c>
      <c r="C16" s="135">
        <f>Butterfat_Production*EstClsIBFUtPerc</f>
        <v>315188.29983702593</v>
      </c>
      <c r="D16" s="135">
        <f>Skim_Production*EstClsISkimUtPerc</f>
        <v>12624942.008855116</v>
      </c>
      <c r="E16" s="140"/>
      <c r="F16" s="126"/>
      <c r="G16" s="141" t="s">
        <v>21</v>
      </c>
      <c r="H16" s="142">
        <f>EstClsIBFUtPerc</f>
        <v>0.51379999999999992</v>
      </c>
      <c r="I16" s="143">
        <f>EstClsISkimUtPerc</f>
        <v>0.90049999999999997</v>
      </c>
      <c r="M16" s="5"/>
    </row>
    <row r="17" spans="1:14" ht="15.75" x14ac:dyDescent="0.25">
      <c r="A17" s="134" t="s">
        <v>22</v>
      </c>
      <c r="B17" s="135">
        <f>SUM(C17:D17)</f>
        <v>6153830.7434228156</v>
      </c>
      <c r="C17" s="135">
        <f>Butterfat_Production*EstClsIIBFUtPerc</f>
        <v>105635.31574919396</v>
      </c>
      <c r="D17" s="135">
        <f>Skim_Production*EstClsIISkimUTPerc</f>
        <v>6048195.427673622</v>
      </c>
      <c r="E17" s="140"/>
      <c r="F17" s="126"/>
      <c r="G17" s="141" t="s">
        <v>22</v>
      </c>
      <c r="H17" s="142">
        <f>EstClsIIBFUtPerc</f>
        <v>0.17219999999999996</v>
      </c>
      <c r="I17" s="143">
        <f>EstClsIISkimUTPerc</f>
        <v>0.43140000000000001</v>
      </c>
      <c r="M17" s="5"/>
    </row>
    <row r="18" spans="1:14" ht="15.75" x14ac:dyDescent="0.25">
      <c r="A18" s="136" t="s">
        <v>23</v>
      </c>
      <c r="B18" s="137">
        <f>SUM(C18:D18)</f>
        <v>1646488.0584428308</v>
      </c>
      <c r="C18" s="137">
        <f>Butterfat_Production*EstClsIIIBFUtPerc</f>
        <v>192621.88818377999</v>
      </c>
      <c r="D18" s="137">
        <f>Skim_Production*EstClsIIISkimUtPerc</f>
        <v>1453866.1702590508</v>
      </c>
      <c r="E18" s="140"/>
      <c r="F18" s="126"/>
      <c r="G18" s="144" t="s">
        <v>23</v>
      </c>
      <c r="H18" s="145">
        <f>EstClsIIIBFUtPerc</f>
        <v>0.314</v>
      </c>
      <c r="I18" s="146">
        <f>EstClsIIISkimUtPerc</f>
        <v>0.10369999999999999</v>
      </c>
      <c r="M18" s="5"/>
    </row>
    <row r="19" spans="1:14" ht="15.75" x14ac:dyDescent="0.25">
      <c r="A19" s="131"/>
      <c r="B19" s="147">
        <f>SUM(B16:B18)</f>
        <v>20740449.110557787</v>
      </c>
      <c r="C19" s="147">
        <f>SUM(C16:C18)</f>
        <v>613445.50376999984</v>
      </c>
      <c r="D19" s="147">
        <f>SUM(D16:D18)</f>
        <v>20127003.60678779</v>
      </c>
      <c r="E19" s="126"/>
      <c r="F19" s="126"/>
      <c r="G19" s="148" t="s">
        <v>44</v>
      </c>
      <c r="H19" s="149">
        <f>SUM(H16:H18)</f>
        <v>1</v>
      </c>
      <c r="I19" s="150">
        <f>SUM(I16:I18)</f>
        <v>1.4356</v>
      </c>
    </row>
    <row r="20" spans="1:14" ht="15.75" x14ac:dyDescent="0.25">
      <c r="A20" s="131"/>
      <c r="B20" s="126"/>
      <c r="C20" s="126"/>
      <c r="D20" s="126"/>
      <c r="E20" s="126"/>
      <c r="F20" s="126"/>
      <c r="G20" s="151"/>
      <c r="H20" s="151"/>
      <c r="I20" s="152"/>
    </row>
    <row r="21" spans="1:14" ht="47.25" x14ac:dyDescent="0.25">
      <c r="A21" s="153" t="s">
        <v>34</v>
      </c>
      <c r="B21" s="154" t="s">
        <v>31</v>
      </c>
      <c r="C21" s="154" t="s">
        <v>29</v>
      </c>
      <c r="D21" s="154" t="s">
        <v>30</v>
      </c>
      <c r="E21" s="154"/>
      <c r="F21" s="155" t="s">
        <v>32</v>
      </c>
      <c r="G21" s="156" t="s">
        <v>33</v>
      </c>
      <c r="H21" s="156" t="s">
        <v>2</v>
      </c>
      <c r="I21" s="157" t="s">
        <v>3</v>
      </c>
    </row>
    <row r="22" spans="1:14" ht="15.75" x14ac:dyDescent="0.25">
      <c r="A22" s="158" t="s">
        <v>21</v>
      </c>
      <c r="B22" s="159">
        <f>SUM(C22:D22)</f>
        <v>2294968.9241402685</v>
      </c>
      <c r="C22" s="159">
        <f>C16*MTClassIButterfatPrice</f>
        <v>594697.28413250053</v>
      </c>
      <c r="D22" s="159">
        <f>D16*MTClassISkimPrice</f>
        <v>1700271.6400077681</v>
      </c>
      <c r="E22" s="159"/>
      <c r="F22" s="160" t="s">
        <v>21</v>
      </c>
      <c r="G22" s="219">
        <v>19.600000000000001</v>
      </c>
      <c r="H22" s="162">
        <v>1.8868</v>
      </c>
      <c r="I22" s="220">
        <v>0.13467560000000001</v>
      </c>
    </row>
    <row r="23" spans="1:14" ht="15.75" x14ac:dyDescent="0.25">
      <c r="A23" s="158" t="s">
        <v>22</v>
      </c>
      <c r="B23" s="159">
        <f>SUM(C23:D23)</f>
        <v>732306.84981608693</v>
      </c>
      <c r="C23" s="159">
        <f>C17*MTClassIIButterfatPrice</f>
        <v>197041.55446697149</v>
      </c>
      <c r="D23" s="159">
        <f>D17*MTClassIISkimPrice</f>
        <v>535265.29534911551</v>
      </c>
      <c r="E23" s="159"/>
      <c r="F23" s="160" t="s">
        <v>22</v>
      </c>
      <c r="G23" s="219">
        <v>15.0688</v>
      </c>
      <c r="H23" s="162">
        <v>1.8653</v>
      </c>
      <c r="I23" s="220">
        <v>8.8499999999999995E-2</v>
      </c>
    </row>
    <row r="24" spans="1:14" ht="15.75" x14ac:dyDescent="0.25">
      <c r="A24" s="164" t="s">
        <v>23</v>
      </c>
      <c r="B24" s="165">
        <f>SUM(C24:D24)</f>
        <v>457177.15886965301</v>
      </c>
      <c r="C24" s="165">
        <f>C18*MTClassIIIButterfatPrice</f>
        <v>338687.06599354034</v>
      </c>
      <c r="D24" s="165">
        <f>D18*MTClassIIISkimPrice</f>
        <v>118490.09287611264</v>
      </c>
      <c r="E24" s="159"/>
      <c r="F24" s="160" t="s">
        <v>23</v>
      </c>
      <c r="G24" s="219">
        <v>14.018800000000001</v>
      </c>
      <c r="H24" s="162">
        <v>1.7583</v>
      </c>
      <c r="I24" s="220">
        <v>8.1500000000000003E-2</v>
      </c>
    </row>
    <row r="25" spans="1:14" ht="15.75" x14ac:dyDescent="0.25">
      <c r="A25" s="158" t="s">
        <v>119</v>
      </c>
      <c r="B25" s="159">
        <f>SUM(B22:B24)</f>
        <v>3484452.9328260086</v>
      </c>
      <c r="C25" s="159">
        <f>SUM(C22:C24)</f>
        <v>1130425.9045930123</v>
      </c>
      <c r="D25" s="159">
        <f>SUM(D22:D24)</f>
        <v>2354027.0282329959</v>
      </c>
      <c r="E25" s="159"/>
      <c r="F25" s="126"/>
      <c r="G25" s="151"/>
      <c r="H25" s="151"/>
      <c r="I25" s="152"/>
    </row>
    <row r="26" spans="1:14" ht="15.75" x14ac:dyDescent="0.25">
      <c r="A26" s="158"/>
      <c r="B26" s="159"/>
      <c r="C26" s="159"/>
      <c r="D26" s="159"/>
      <c r="E26" s="159"/>
      <c r="F26" s="126"/>
      <c r="G26" s="154" t="s">
        <v>114</v>
      </c>
      <c r="H26" s="154" t="s">
        <v>115</v>
      </c>
      <c r="I26" s="152"/>
    </row>
    <row r="27" spans="1:14" ht="15.75" x14ac:dyDescent="0.25">
      <c r="A27" s="166" t="s">
        <v>124</v>
      </c>
      <c r="B27" s="159"/>
      <c r="C27" s="159"/>
      <c r="D27" s="161">
        <f>AVERAGE(G27:H27)</f>
        <v>-51750</v>
      </c>
      <c r="E27" s="159"/>
      <c r="F27" s="126"/>
      <c r="G27" s="167">
        <v>-48000</v>
      </c>
      <c r="H27" s="168">
        <v>-55500</v>
      </c>
      <c r="I27" s="152"/>
      <c r="K27"/>
    </row>
    <row r="28" spans="1:14" ht="15.75" x14ac:dyDescent="0.25">
      <c r="A28" s="158" t="s">
        <v>121</v>
      </c>
      <c r="B28" s="159"/>
      <c r="C28" s="159"/>
      <c r="D28" s="159">
        <f>SurplusAdjustmentPckgClassI</f>
        <v>-72120.160000000003</v>
      </c>
      <c r="E28" s="159"/>
      <c r="F28" s="126"/>
      <c r="G28" s="151"/>
      <c r="H28" s="151"/>
      <c r="I28" s="152"/>
      <c r="L28" s="231"/>
      <c r="M28" s="231"/>
      <c r="N28" s="231"/>
    </row>
    <row r="29" spans="1:14" ht="15.75" x14ac:dyDescent="0.25">
      <c r="A29" s="164" t="s">
        <v>132</v>
      </c>
      <c r="B29" s="169"/>
      <c r="C29" s="169"/>
      <c r="D29" s="165">
        <f>SurplusAdjustmentBulkSales</f>
        <v>0</v>
      </c>
      <c r="E29" s="159"/>
      <c r="F29" s="126"/>
      <c r="G29" s="151"/>
      <c r="H29" s="151"/>
      <c r="I29" s="152"/>
      <c r="L29" s="231"/>
      <c r="M29" s="231"/>
      <c r="N29" s="231"/>
    </row>
    <row r="30" spans="1:14" ht="15.75" x14ac:dyDescent="0.25">
      <c r="A30" s="166" t="s">
        <v>35</v>
      </c>
      <c r="B30" s="170">
        <f>C30+D30</f>
        <v>3360582.772826008</v>
      </c>
      <c r="C30" s="170">
        <f>SUM(C25:C29)</f>
        <v>1130425.9045930123</v>
      </c>
      <c r="D30" s="170">
        <f>SUM(D25:D29)</f>
        <v>2230156.8682329957</v>
      </c>
      <c r="E30" s="171"/>
      <c r="F30" s="126"/>
      <c r="G30" s="151"/>
      <c r="H30" s="151"/>
      <c r="I30" s="152"/>
    </row>
    <row r="31" spans="1:14" ht="15.75" x14ac:dyDescent="0.25">
      <c r="A31" s="131"/>
      <c r="B31" s="126"/>
      <c r="C31" s="126"/>
      <c r="D31" s="126"/>
      <c r="E31" s="126"/>
      <c r="F31" s="126"/>
      <c r="G31" s="151"/>
      <c r="H31" s="151"/>
      <c r="I31" s="152"/>
    </row>
    <row r="32" spans="1:14" ht="15.75" x14ac:dyDescent="0.25">
      <c r="A32" s="172" t="s">
        <v>40</v>
      </c>
      <c r="B32" s="126"/>
      <c r="C32" s="154" t="s">
        <v>39</v>
      </c>
      <c r="D32" s="154" t="s">
        <v>3</v>
      </c>
      <c r="E32" s="154"/>
      <c r="F32" s="173" t="s">
        <v>41</v>
      </c>
      <c r="G32" s="126"/>
      <c r="H32" s="154" t="s">
        <v>39</v>
      </c>
      <c r="I32" s="174" t="s">
        <v>3</v>
      </c>
    </row>
    <row r="33" spans="1:9" ht="15.75" x14ac:dyDescent="0.25">
      <c r="A33" s="158" t="s">
        <v>38</v>
      </c>
      <c r="B33" s="126"/>
      <c r="C33" s="175">
        <f>C30/Butterfat_Production</f>
        <v>1.8427486999999996</v>
      </c>
      <c r="D33" s="175">
        <f>D30/Skim_Production</f>
        <v>0.15907053342781494</v>
      </c>
      <c r="E33" s="176"/>
      <c r="F33" s="160" t="s">
        <v>38</v>
      </c>
      <c r="G33" s="126"/>
      <c r="H33" s="175">
        <f>C30/Butterfat_Production</f>
        <v>1.8427486999999996</v>
      </c>
      <c r="I33" s="163">
        <f>D30/Skim_Production</f>
        <v>0.15907053342781494</v>
      </c>
    </row>
    <row r="34" spans="1:9" ht="15.75" x14ac:dyDescent="0.25">
      <c r="A34" s="164" t="s">
        <v>52</v>
      </c>
      <c r="B34" s="169"/>
      <c r="C34" s="177">
        <f>(1.5/100)*B8</f>
        <v>2.1709499999999999E-4</v>
      </c>
      <c r="D34" s="177">
        <f>(1.5/100)*B8</f>
        <v>2.1709499999999999E-4</v>
      </c>
      <c r="E34" s="178"/>
      <c r="F34" s="179" t="s">
        <v>53</v>
      </c>
      <c r="G34" s="169"/>
      <c r="H34" s="177">
        <f>-(1.5/100)*(1-B8)</f>
        <v>-1.4782905000000001E-2</v>
      </c>
      <c r="I34" s="180">
        <f>-(1.5/100)*(1-B8)</f>
        <v>-1.4782905000000001E-2</v>
      </c>
    </row>
    <row r="35" spans="1:9" ht="16.5" thickBot="1" x14ac:dyDescent="0.3">
      <c r="A35" s="181" t="s">
        <v>45</v>
      </c>
      <c r="B35" s="182"/>
      <c r="C35" s="183">
        <f>SUM(C33:C34)</f>
        <v>1.8429657949999996</v>
      </c>
      <c r="D35" s="183">
        <f>SUM(D33:D34)</f>
        <v>0.15928762842781494</v>
      </c>
      <c r="E35" s="184"/>
      <c r="F35" s="185" t="s">
        <v>46</v>
      </c>
      <c r="G35" s="182"/>
      <c r="H35" s="183">
        <f>SUM(H33:H34)</f>
        <v>1.8279657949999997</v>
      </c>
      <c r="I35" s="186">
        <f>SUM(I33:I34)</f>
        <v>0.14428762842781492</v>
      </c>
    </row>
    <row r="36" spans="1:9" x14ac:dyDescent="0.25">
      <c r="G36" s="90"/>
      <c r="H36" s="90"/>
      <c r="I36" s="90"/>
    </row>
    <row r="37" spans="1:9" x14ac:dyDescent="0.25">
      <c r="A37" s="3"/>
      <c r="G37" s="90"/>
      <c r="H37" s="90"/>
      <c r="I37" s="90"/>
    </row>
    <row r="38" spans="1:9" ht="15.75" thickBot="1" x14ac:dyDescent="0.3"/>
    <row r="39" spans="1:9" ht="15.75" x14ac:dyDescent="0.25">
      <c r="A39" s="119" t="s">
        <v>123</v>
      </c>
      <c r="B39" s="120"/>
      <c r="C39" s="120"/>
      <c r="D39" s="120"/>
      <c r="E39" s="120"/>
      <c r="F39" s="120"/>
      <c r="G39" s="120"/>
      <c r="H39" s="120"/>
      <c r="I39" s="121"/>
    </row>
    <row r="40" spans="1:9" ht="15.75" x14ac:dyDescent="0.25">
      <c r="A40" s="131"/>
      <c r="B40" s="126"/>
      <c r="C40" s="126"/>
      <c r="D40" s="126"/>
      <c r="E40" s="126"/>
      <c r="F40" s="126"/>
      <c r="G40" s="126"/>
      <c r="H40" s="126"/>
      <c r="I40" s="127"/>
    </row>
    <row r="41" spans="1:9" ht="31.5" x14ac:dyDescent="0.25">
      <c r="A41" s="187" t="s">
        <v>125</v>
      </c>
      <c r="B41" s="188" t="s">
        <v>10</v>
      </c>
      <c r="C41" s="188" t="s">
        <v>11</v>
      </c>
      <c r="D41" s="188" t="s">
        <v>12</v>
      </c>
      <c r="E41" s="133"/>
      <c r="F41" s="126"/>
      <c r="G41" s="126"/>
      <c r="H41" s="133" t="s">
        <v>26</v>
      </c>
      <c r="I41" s="139" t="s">
        <v>27</v>
      </c>
    </row>
    <row r="42" spans="1:9" ht="15.75" x14ac:dyDescent="0.25">
      <c r="A42" s="189"/>
      <c r="B42" s="190">
        <f>SUM(C42:D42)</f>
        <v>2708021.3456216292</v>
      </c>
      <c r="C42" s="190">
        <f>EstClsIPckgSurpPoolBFUtPerc*Butterfat_Production</f>
        <v>67943.383661053886</v>
      </c>
      <c r="D42" s="190">
        <f>EstClsIPckgSurpPoolSkimUtPerc*Skim_Production</f>
        <v>2640077.9619605751</v>
      </c>
      <c r="E42" s="126"/>
      <c r="G42" s="211" t="s">
        <v>129</v>
      </c>
      <c r="H42" s="142">
        <f>EstClsIPckgSurpPoolBFUtPerc</f>
        <v>0.11075699999999999</v>
      </c>
      <c r="I42" s="143">
        <f>EstClsIPckgSurpPoolSkimUtPerc</f>
        <v>0.188309</v>
      </c>
    </row>
    <row r="43" spans="1:9" ht="15.75" x14ac:dyDescent="0.25">
      <c r="A43" s="158"/>
      <c r="B43" s="192"/>
      <c r="C43" s="192"/>
      <c r="D43" s="192"/>
      <c r="E43" s="126"/>
      <c r="F43" s="160"/>
      <c r="G43" s="126"/>
      <c r="H43" s="149"/>
      <c r="I43" s="150"/>
    </row>
    <row r="44" spans="1:9" ht="31.5" x14ac:dyDescent="0.25">
      <c r="A44" s="193" t="s">
        <v>126</v>
      </c>
      <c r="B44" s="133" t="s">
        <v>10</v>
      </c>
      <c r="C44" s="192"/>
      <c r="D44" s="192"/>
      <c r="E44" s="126"/>
      <c r="F44" s="156" t="s">
        <v>120</v>
      </c>
      <c r="G44" s="126"/>
      <c r="H44" s="149"/>
      <c r="I44" s="150"/>
    </row>
    <row r="45" spans="1:9" ht="15.75" x14ac:dyDescent="0.25">
      <c r="A45" s="194" t="s">
        <v>116</v>
      </c>
      <c r="B45" s="192">
        <f>ROUND(F45*B42,0)</f>
        <v>2094898</v>
      </c>
      <c r="C45" s="192"/>
      <c r="D45" s="192"/>
      <c r="E45" s="126"/>
      <c r="F45" s="142">
        <f>PercClsIPckgSurptoContigStates</f>
        <v>0.77359</v>
      </c>
      <c r="G45" s="126"/>
      <c r="H45" s="149"/>
      <c r="I45" s="150"/>
    </row>
    <row r="46" spans="1:9" ht="15.75" x14ac:dyDescent="0.25">
      <c r="A46" s="194" t="s">
        <v>117</v>
      </c>
      <c r="B46" s="192">
        <f>B42-B45</f>
        <v>613123.34562162915</v>
      </c>
      <c r="C46" s="192"/>
      <c r="D46" s="192"/>
      <c r="E46" s="126"/>
      <c r="F46" s="195">
        <f>1-F45</f>
        <v>0.22641</v>
      </c>
      <c r="G46" s="126"/>
      <c r="H46" s="149"/>
      <c r="I46" s="150"/>
    </row>
    <row r="47" spans="1:9" ht="15.75" x14ac:dyDescent="0.25">
      <c r="A47" s="158"/>
      <c r="B47" s="192"/>
      <c r="C47" s="192"/>
      <c r="D47" s="192"/>
      <c r="E47" s="126"/>
      <c r="F47" s="149">
        <f>SUM(F45:F46)</f>
        <v>1</v>
      </c>
      <c r="G47" s="196" t="s">
        <v>44</v>
      </c>
      <c r="H47" s="149"/>
      <c r="I47" s="150"/>
    </row>
    <row r="48" spans="1:9" ht="15.75" x14ac:dyDescent="0.25">
      <c r="A48" s="158"/>
      <c r="B48" s="192"/>
      <c r="C48" s="192"/>
      <c r="D48" s="192"/>
      <c r="E48" s="126"/>
      <c r="F48" s="149"/>
      <c r="G48" s="196"/>
      <c r="H48" s="149"/>
      <c r="I48" s="150"/>
    </row>
    <row r="49" spans="1:11" ht="54" customHeight="1" x14ac:dyDescent="0.25">
      <c r="A49" s="193" t="s">
        <v>127</v>
      </c>
      <c r="B49" s="192"/>
      <c r="C49" s="192"/>
      <c r="D49" s="192"/>
      <c r="E49" s="126"/>
      <c r="F49" s="212" t="s">
        <v>122</v>
      </c>
      <c r="G49" s="126"/>
      <c r="H49" s="149"/>
      <c r="I49" s="150"/>
    </row>
    <row r="50" spans="1:11" ht="15.75" x14ac:dyDescent="0.25">
      <c r="A50" s="194" t="s">
        <v>116</v>
      </c>
      <c r="B50" s="159">
        <f>ROUND(B45/100*F50,2)</f>
        <v>-53419.9</v>
      </c>
      <c r="C50" s="192"/>
      <c r="D50" s="192"/>
      <c r="E50" s="126"/>
      <c r="F50" s="197">
        <v>-2.5499999999999998</v>
      </c>
      <c r="G50" s="126"/>
      <c r="H50" s="149"/>
      <c r="I50" s="150"/>
    </row>
    <row r="51" spans="1:11" ht="15.75" x14ac:dyDescent="0.25">
      <c r="A51" s="198" t="s">
        <v>117</v>
      </c>
      <c r="B51" s="165">
        <f>ROUND(B46/100*F51,2)</f>
        <v>-18700.259999999998</v>
      </c>
      <c r="C51" s="192"/>
      <c r="D51" s="192"/>
      <c r="E51" s="126"/>
      <c r="F51" s="197">
        <v>-3.05</v>
      </c>
      <c r="G51" s="126"/>
      <c r="H51" s="149"/>
      <c r="I51" s="150"/>
    </row>
    <row r="52" spans="1:11" ht="31.5" x14ac:dyDescent="0.25">
      <c r="A52" s="199" t="s">
        <v>128</v>
      </c>
      <c r="B52" s="170">
        <f>SUM(B50:B51)</f>
        <v>-72120.160000000003</v>
      </c>
      <c r="C52" s="192"/>
      <c r="D52" s="192"/>
      <c r="E52" s="126"/>
      <c r="F52" s="160"/>
      <c r="G52" s="126"/>
      <c r="H52" s="149"/>
      <c r="I52" s="150"/>
    </row>
    <row r="53" spans="1:11" ht="16.5" thickBot="1" x14ac:dyDescent="0.3">
      <c r="A53" s="200"/>
      <c r="B53" s="201"/>
      <c r="C53" s="201"/>
      <c r="D53" s="201"/>
      <c r="E53" s="202"/>
      <c r="F53" s="203"/>
      <c r="G53" s="202"/>
      <c r="H53" s="204"/>
      <c r="I53" s="205"/>
    </row>
    <row r="54" spans="1:11" ht="15.75" x14ac:dyDescent="0.25">
      <c r="A54" s="194"/>
      <c r="B54" s="192"/>
      <c r="C54" s="192"/>
      <c r="D54" s="192"/>
      <c r="E54" s="126"/>
      <c r="F54" s="160"/>
      <c r="G54" s="126"/>
      <c r="H54" s="149"/>
      <c r="I54" s="150"/>
    </row>
    <row r="55" spans="1:11" ht="31.5" x14ac:dyDescent="0.25">
      <c r="A55" s="206" t="s">
        <v>118</v>
      </c>
      <c r="B55" s="188" t="s">
        <v>10</v>
      </c>
      <c r="C55" s="188" t="s">
        <v>11</v>
      </c>
      <c r="D55" s="188" t="s">
        <v>12</v>
      </c>
      <c r="E55" s="126"/>
      <c r="F55" s="160"/>
      <c r="G55" s="133" t="s">
        <v>28</v>
      </c>
      <c r="H55" s="149"/>
      <c r="I55" s="150"/>
    </row>
    <row r="56" spans="1:11" ht="15.75" x14ac:dyDescent="0.25">
      <c r="A56" s="207"/>
      <c r="B56" s="190">
        <f>SUM(C56:D56)</f>
        <v>0</v>
      </c>
      <c r="C56" s="190">
        <f>G56*Butterfat_Production</f>
        <v>0</v>
      </c>
      <c r="D56" s="190">
        <f>G56*Skim_Production</f>
        <v>0</v>
      </c>
      <c r="E56" s="126"/>
      <c r="F56" s="211" t="s">
        <v>130</v>
      </c>
      <c r="G56" s="142">
        <f>EstBulkSurpPoolMilkUtPerc</f>
        <v>0</v>
      </c>
      <c r="H56" s="149"/>
      <c r="I56" s="150"/>
    </row>
    <row r="57" spans="1:11" ht="15.75" x14ac:dyDescent="0.25">
      <c r="A57" s="172"/>
      <c r="B57" s="192"/>
      <c r="C57" s="192"/>
      <c r="D57" s="192"/>
      <c r="E57" s="126"/>
      <c r="F57" s="191"/>
      <c r="G57" s="149"/>
      <c r="H57" s="149"/>
      <c r="I57" s="150"/>
    </row>
    <row r="58" spans="1:11" ht="15.75" x14ac:dyDescent="0.25">
      <c r="A58" s="172"/>
      <c r="B58" s="192"/>
      <c r="C58" s="154"/>
      <c r="D58" s="192"/>
      <c r="E58" s="126"/>
      <c r="F58" s="154" t="s">
        <v>71</v>
      </c>
      <c r="G58" s="154" t="s">
        <v>72</v>
      </c>
      <c r="H58" s="154" t="s">
        <v>73</v>
      </c>
      <c r="I58" s="150"/>
    </row>
    <row r="59" spans="1:11" ht="63" x14ac:dyDescent="0.25">
      <c r="A59" s="193" t="s">
        <v>131</v>
      </c>
      <c r="B59" s="170">
        <f>(B56/100)*F59</f>
        <v>0</v>
      </c>
      <c r="C59" s="208"/>
      <c r="D59" s="192"/>
      <c r="E59" s="126"/>
      <c r="F59" s="161">
        <f>ROUND(K91,2)</f>
        <v>-1.78</v>
      </c>
      <c r="G59" s="167">
        <f>ROUND(L91,2)</f>
        <v>-1.78</v>
      </c>
      <c r="H59" s="168">
        <f>ROUND(J91,2)</f>
        <v>-1.78</v>
      </c>
      <c r="I59" s="150"/>
      <c r="K59"/>
    </row>
    <row r="60" spans="1:11" ht="16.5" thickBot="1" x14ac:dyDescent="0.3">
      <c r="A60" s="209"/>
      <c r="B60" s="202"/>
      <c r="C60" s="202"/>
      <c r="D60" s="202"/>
      <c r="E60" s="202"/>
      <c r="F60" s="202"/>
      <c r="G60" s="202"/>
      <c r="H60" s="202"/>
      <c r="I60" s="210"/>
    </row>
    <row r="63" spans="1:11" ht="14.25" customHeight="1" x14ac:dyDescent="0.25"/>
    <row r="64" spans="1:11" x14ac:dyDescent="0.25">
      <c r="F64"/>
    </row>
    <row r="65" spans="1:16" ht="15.75" customHeight="1" x14ac:dyDescent="0.25"/>
    <row r="66" spans="1:16" hidden="1" x14ac:dyDescent="0.25"/>
    <row r="67" spans="1:16" hidden="1" x14ac:dyDescent="0.25">
      <c r="A67" s="1" t="s">
        <v>143</v>
      </c>
      <c r="B67" s="229">
        <f>B7</f>
        <v>4.1921E-2</v>
      </c>
    </row>
    <row r="68" spans="1:16" hidden="1" x14ac:dyDescent="0.25">
      <c r="A68" s="1" t="s">
        <v>145</v>
      </c>
      <c r="B68" s="268">
        <v>1.8583000000000001</v>
      </c>
      <c r="C68" s="1" t="s">
        <v>198</v>
      </c>
    </row>
    <row r="69" spans="1:16" hidden="1" x14ac:dyDescent="0.25">
      <c r="A69" s="1" t="s">
        <v>146</v>
      </c>
      <c r="B69" s="268">
        <v>0.1062</v>
      </c>
      <c r="C69" s="1" t="s">
        <v>198</v>
      </c>
    </row>
    <row r="70" spans="1:16" hidden="1" x14ac:dyDescent="0.25">
      <c r="A70" s="1" t="s">
        <v>144</v>
      </c>
      <c r="B70" s="268">
        <v>8.1500000000000003E-2</v>
      </c>
      <c r="C70" s="1" t="s">
        <v>198</v>
      </c>
    </row>
    <row r="71" spans="1:16" hidden="1" x14ac:dyDescent="0.25">
      <c r="B71" s="230"/>
    </row>
    <row r="72" spans="1:16" hidden="1" x14ac:dyDescent="0.25">
      <c r="A72" t="s">
        <v>147</v>
      </c>
      <c r="B72" s="230">
        <f>MTClassIIISkimPrice</f>
        <v>8.1500000000000003E-2</v>
      </c>
    </row>
    <row r="73" spans="1:16" hidden="1" x14ac:dyDescent="0.25">
      <c r="A73" t="s">
        <v>148</v>
      </c>
      <c r="B73" s="230">
        <f>MTClassIIIButterfatPrice</f>
        <v>1.7583</v>
      </c>
    </row>
    <row r="74" spans="1:16" hidden="1" x14ac:dyDescent="0.25"/>
    <row r="75" spans="1:16" hidden="1" x14ac:dyDescent="0.25"/>
    <row r="76" spans="1:16" hidden="1" x14ac:dyDescent="0.25">
      <c r="A76" t="s">
        <v>149</v>
      </c>
      <c r="B76" s="231">
        <f>(100*B67*B68)+(100*(1-B67)*B70)</f>
        <v>15.598523280000002</v>
      </c>
    </row>
    <row r="77" spans="1:16" hidden="1" x14ac:dyDescent="0.25">
      <c r="A77" t="s">
        <v>150</v>
      </c>
      <c r="B77" s="231">
        <f>(100*B67*B73+100*(1-B67)*B72)</f>
        <v>15.179313280000001</v>
      </c>
    </row>
    <row r="78" spans="1:16" hidden="1" x14ac:dyDescent="0.25"/>
    <row r="79" spans="1:16" ht="60" hidden="1" x14ac:dyDescent="0.25">
      <c r="F79" s="232" t="s">
        <v>156</v>
      </c>
      <c r="G79" s="232" t="s">
        <v>157</v>
      </c>
      <c r="H79" s="232" t="s">
        <v>158</v>
      </c>
      <c r="J79" s="234" t="s">
        <v>159</v>
      </c>
      <c r="K79" s="239" t="s">
        <v>160</v>
      </c>
      <c r="L79" s="234" t="s">
        <v>161</v>
      </c>
      <c r="N79" s="238" t="s">
        <v>163</v>
      </c>
      <c r="O79" s="238" t="s">
        <v>162</v>
      </c>
      <c r="P79" s="238" t="s">
        <v>164</v>
      </c>
    </row>
    <row r="80" spans="1:16" hidden="1" x14ac:dyDescent="0.25">
      <c r="A80" t="s">
        <v>151</v>
      </c>
      <c r="B80" s="231">
        <f>B76</f>
        <v>15.598523280000002</v>
      </c>
    </row>
    <row r="81" spans="1:16" hidden="1" x14ac:dyDescent="0.25">
      <c r="A81" t="s">
        <v>153</v>
      </c>
      <c r="B81" s="231">
        <v>-2.2000000000000002</v>
      </c>
    </row>
    <row r="82" spans="1:16" hidden="1" x14ac:dyDescent="0.25">
      <c r="A82" s="244" t="s">
        <v>186</v>
      </c>
      <c r="B82" s="235">
        <f>-B77</f>
        <v>-15.179313280000001</v>
      </c>
    </row>
    <row r="83" spans="1:16" hidden="1" x14ac:dyDescent="0.25">
      <c r="A83" t="s">
        <v>152</v>
      </c>
      <c r="B83" s="231">
        <f>SUM(B80:B82)</f>
        <v>-1.7807899999999979</v>
      </c>
      <c r="F83" s="5">
        <f>N83/N$91</f>
        <v>1</v>
      </c>
      <c r="G83" s="5">
        <f>O83/O$91</f>
        <v>1</v>
      </c>
      <c r="H83" s="5">
        <f>P83/P$91</f>
        <v>1</v>
      </c>
      <c r="J83" s="231">
        <f>$B83*F83</f>
        <v>-1.7807899999999979</v>
      </c>
      <c r="K83" s="231">
        <f>$B83*G83</f>
        <v>-1.7807899999999979</v>
      </c>
      <c r="L83" s="231">
        <f>$B83*H83</f>
        <v>-1.7807899999999979</v>
      </c>
      <c r="N83" s="237">
        <f>O83-65000*2</f>
        <v>1088300</v>
      </c>
      <c r="O83" s="237">
        <v>1218300</v>
      </c>
      <c r="P83" s="237">
        <f>O83+65000*2</f>
        <v>1348300</v>
      </c>
    </row>
    <row r="84" spans="1:16" hidden="1" x14ac:dyDescent="0.25"/>
    <row r="85" spans="1:16" hidden="1" x14ac:dyDescent="0.25">
      <c r="A85" t="s">
        <v>187</v>
      </c>
      <c r="B85" s="233">
        <f>B77</f>
        <v>15.179313280000001</v>
      </c>
    </row>
    <row r="86" spans="1:16" hidden="1" x14ac:dyDescent="0.25">
      <c r="A86" t="s">
        <v>188</v>
      </c>
      <c r="B86" s="233">
        <v>0</v>
      </c>
    </row>
    <row r="87" spans="1:16" hidden="1" x14ac:dyDescent="0.25">
      <c r="A87" t="s">
        <v>154</v>
      </c>
      <c r="B87" s="233">
        <v>-5.43</v>
      </c>
    </row>
    <row r="88" spans="1:16" hidden="1" x14ac:dyDescent="0.25">
      <c r="A88" s="244" t="s">
        <v>186</v>
      </c>
      <c r="B88" s="235">
        <f>-B77</f>
        <v>-15.179313280000001</v>
      </c>
    </row>
    <row r="89" spans="1:16" hidden="1" x14ac:dyDescent="0.25">
      <c r="A89" t="s">
        <v>155</v>
      </c>
      <c r="B89" s="231">
        <f>SUM(B85:B88)</f>
        <v>-5.43</v>
      </c>
      <c r="F89" s="5">
        <f>N89/N$91</f>
        <v>0</v>
      </c>
      <c r="G89" s="5">
        <f t="shared" ref="G89:H89" si="0">O89/O$91</f>
        <v>0</v>
      </c>
      <c r="H89" s="5">
        <f t="shared" si="0"/>
        <v>0</v>
      </c>
      <c r="J89" s="235">
        <f>$B89*F89</f>
        <v>0</v>
      </c>
      <c r="K89" s="235">
        <f>$B89*G89</f>
        <v>0</v>
      </c>
      <c r="L89" s="235">
        <f>$B89*H89</f>
        <v>0</v>
      </c>
      <c r="N89" s="237">
        <v>0</v>
      </c>
      <c r="O89" s="237">
        <v>0</v>
      </c>
      <c r="P89" s="237">
        <v>0</v>
      </c>
    </row>
    <row r="90" spans="1:16" hidden="1" x14ac:dyDescent="0.25"/>
    <row r="91" spans="1:16" hidden="1" x14ac:dyDescent="0.25">
      <c r="F91" s="5">
        <f>SUM(F80:F89)</f>
        <v>1</v>
      </c>
      <c r="G91" s="5">
        <f>SUM(G80:G89)</f>
        <v>1</v>
      </c>
      <c r="H91" s="5">
        <f>SUM(H80:H89)</f>
        <v>1</v>
      </c>
      <c r="I91" s="236" t="s">
        <v>54</v>
      </c>
      <c r="J91" s="231">
        <f>SUM(J80:J89)</f>
        <v>-1.7807899999999979</v>
      </c>
      <c r="K91" s="240">
        <f>SUM(K80:K89)</f>
        <v>-1.7807899999999979</v>
      </c>
      <c r="L91" s="231">
        <f>SUM(L80:L89)</f>
        <v>-1.7807899999999979</v>
      </c>
      <c r="N91" s="237">
        <f>SUM(N80:N89)</f>
        <v>1088300</v>
      </c>
      <c r="O91" s="237">
        <f>SUM(O80:O89)</f>
        <v>1218300</v>
      </c>
      <c r="P91" s="237">
        <f>SUM(P80:P89)</f>
        <v>1348300</v>
      </c>
    </row>
  </sheetData>
  <sheetProtection algorithmName="SHA-512" hashValue="7ukhJq119e0agaxQyJzfUw/zdRQ8SIbujrrxUVDbi+sjbsSDQUHhnCIE94NBagWMovqy8h9wUQ8anZf69tenAA==" saltValue="phvWD1qys5+WQ/0OyIMc+Q==" spinCount="100000" sheet="1" formatColumns="0" insertColumns="0"/>
  <conditionalFormatting sqref="D27">
    <cfRule type="expression" dxfId="7" priority="5">
      <formula>D27&gt;=0</formula>
    </cfRule>
  </conditionalFormatting>
  <conditionalFormatting sqref="F47:F48">
    <cfRule type="expression" dxfId="6" priority="19">
      <formula>#REF!=1</formula>
    </cfRule>
  </conditionalFormatting>
  <conditionalFormatting sqref="F47:G48">
    <cfRule type="expression" dxfId="5" priority="20">
      <formula>#REF!&lt;&gt;1</formula>
    </cfRule>
  </conditionalFormatting>
  <conditionalFormatting sqref="F19:H19">
    <cfRule type="expression" dxfId="4" priority="16">
      <formula>$H$19&lt;&gt;1</formula>
    </cfRule>
  </conditionalFormatting>
  <conditionalFormatting sqref="G27:H27">
    <cfRule type="expression" dxfId="3" priority="3">
      <formula>G27&gt;=0</formula>
    </cfRule>
  </conditionalFormatting>
  <conditionalFormatting sqref="H19">
    <cfRule type="expression" dxfId="2" priority="11">
      <formula>$H$19=1</formula>
    </cfRule>
  </conditionalFormatting>
  <conditionalFormatting sqref="I19 F19:G19">
    <cfRule type="expression" dxfId="1" priority="12">
      <formula>$I$19&lt;&gt;1</formula>
    </cfRule>
  </conditionalFormatting>
  <conditionalFormatting sqref="I19">
    <cfRule type="expression" dxfId="0" priority="10">
      <formula>$I$19=1</formula>
    </cfRule>
  </conditionalFormatting>
  <printOptions horizontalCentered="1"/>
  <pageMargins left="0.25" right="0.25" top="0.75" bottom="0.75" header="0.3" footer="0.3"/>
  <pageSetup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tint="0.39997558519241921"/>
    <pageSetUpPr fitToPage="1"/>
  </sheetPr>
  <dimension ref="A1:B66"/>
  <sheetViews>
    <sheetView topLeftCell="A12" workbookViewId="0">
      <selection activeCell="A31" sqref="A31:XFD68"/>
    </sheetView>
  </sheetViews>
  <sheetFormatPr defaultRowHeight="15" x14ac:dyDescent="0.25"/>
  <cols>
    <col min="1" max="1" width="85.5703125" customWidth="1"/>
    <col min="2" max="2" width="15.42578125" customWidth="1"/>
  </cols>
  <sheetData>
    <row r="1" spans="1:2" x14ac:dyDescent="0.25">
      <c r="A1" s="3" t="s">
        <v>74</v>
      </c>
    </row>
    <row r="2" spans="1:2" x14ac:dyDescent="0.25">
      <c r="A2" s="34" t="str">
        <f>Pooling_Month</f>
        <v>November 2025</v>
      </c>
    </row>
    <row r="4" spans="1:2" x14ac:dyDescent="0.25">
      <c r="B4" s="37" t="s">
        <v>60</v>
      </c>
    </row>
    <row r="5" spans="1:2" x14ac:dyDescent="0.25">
      <c r="A5" s="2" t="s">
        <v>50</v>
      </c>
      <c r="B5" s="33">
        <f>PoolDailyProd</f>
        <v>487779</v>
      </c>
    </row>
    <row r="6" spans="1:2" x14ac:dyDescent="0.25">
      <c r="A6" s="36" t="s">
        <v>77</v>
      </c>
      <c r="B6" s="32">
        <f>PoolButterfatPercent</f>
        <v>4.1921E-2</v>
      </c>
    </row>
    <row r="7" spans="1:2" x14ac:dyDescent="0.25">
      <c r="A7" s="2" t="s">
        <v>51</v>
      </c>
      <c r="B7" s="32">
        <f>PoolOverQuotaProdPerc</f>
        <v>1.4473E-2</v>
      </c>
    </row>
    <row r="8" spans="1:2" x14ac:dyDescent="0.25">
      <c r="B8" s="31"/>
    </row>
    <row r="9" spans="1:2" x14ac:dyDescent="0.25">
      <c r="A9" t="s">
        <v>75</v>
      </c>
      <c r="B9" s="31"/>
    </row>
    <row r="10" spans="1:2" x14ac:dyDescent="0.25">
      <c r="A10" s="35" t="s">
        <v>21</v>
      </c>
      <c r="B10" s="32">
        <f>EstClsIBFUtPerc</f>
        <v>0.51379999999999992</v>
      </c>
    </row>
    <row r="11" spans="1:2" x14ac:dyDescent="0.25">
      <c r="A11" s="35" t="s">
        <v>22</v>
      </c>
      <c r="B11" s="32">
        <f>EstClsIIBFUtPerc</f>
        <v>0.17219999999999996</v>
      </c>
    </row>
    <row r="12" spans="1:2" x14ac:dyDescent="0.25">
      <c r="A12" s="35" t="s">
        <v>23</v>
      </c>
      <c r="B12" s="38">
        <f>EstClsIIIBFUtPerc</f>
        <v>0.314</v>
      </c>
    </row>
    <row r="13" spans="1:2" x14ac:dyDescent="0.25">
      <c r="B13" s="32">
        <f>SUM(B10:B12)</f>
        <v>1</v>
      </c>
    </row>
    <row r="14" spans="1:2" x14ac:dyDescent="0.25">
      <c r="B14" s="31"/>
    </row>
    <row r="15" spans="1:2" x14ac:dyDescent="0.25">
      <c r="A15" t="s">
        <v>76</v>
      </c>
      <c r="B15" s="31"/>
    </row>
    <row r="16" spans="1:2" x14ac:dyDescent="0.25">
      <c r="A16" s="35" t="s">
        <v>21</v>
      </c>
      <c r="B16" s="32">
        <f>EstClsISkimUtPerc</f>
        <v>0.90049999999999997</v>
      </c>
    </row>
    <row r="17" spans="1:2" x14ac:dyDescent="0.25">
      <c r="A17" s="35" t="s">
        <v>22</v>
      </c>
      <c r="B17" s="32">
        <f>EstClsIISkimUTPerc</f>
        <v>0.43140000000000001</v>
      </c>
    </row>
    <row r="18" spans="1:2" x14ac:dyDescent="0.25">
      <c r="A18" s="35" t="s">
        <v>23</v>
      </c>
      <c r="B18" s="38">
        <f>EstClsIIISkimUtPerc</f>
        <v>0.10369999999999999</v>
      </c>
    </row>
    <row r="19" spans="1:2" x14ac:dyDescent="0.25">
      <c r="B19" s="32">
        <f>SUM(B16:B18)</f>
        <v>1.4356</v>
      </c>
    </row>
    <row r="20" spans="1:2" x14ac:dyDescent="0.25">
      <c r="B20" s="32"/>
    </row>
    <row r="21" spans="1:2" ht="15.75" x14ac:dyDescent="0.25">
      <c r="A21" s="213" t="s">
        <v>141</v>
      </c>
      <c r="B21" s="39">
        <f>'Quota Price Estimator'!D27</f>
        <v>-51750</v>
      </c>
    </row>
    <row r="22" spans="1:2" x14ac:dyDescent="0.25">
      <c r="B22" s="31"/>
    </row>
    <row r="23" spans="1:2" x14ac:dyDescent="0.25">
      <c r="A23" t="s">
        <v>133</v>
      </c>
      <c r="B23" s="32">
        <f>EstClsIPckgSurpPoolBFUtPerc</f>
        <v>0.11075699999999999</v>
      </c>
    </row>
    <row r="24" spans="1:2" x14ac:dyDescent="0.25">
      <c r="A24" t="s">
        <v>134</v>
      </c>
      <c r="B24" s="32">
        <f>EstClsIPckgSurpPoolSkimUtPerc</f>
        <v>0.188309</v>
      </c>
    </row>
    <row r="25" spans="1:2" x14ac:dyDescent="0.25">
      <c r="B25" s="31"/>
    </row>
    <row r="26" spans="1:2" x14ac:dyDescent="0.25">
      <c r="A26" t="s">
        <v>136</v>
      </c>
      <c r="B26" s="32">
        <f>PercClsIPckgSurptoContigStates</f>
        <v>0.77359</v>
      </c>
    </row>
    <row r="27" spans="1:2" x14ac:dyDescent="0.25">
      <c r="B27" s="31"/>
    </row>
    <row r="28" spans="1:2" x14ac:dyDescent="0.25">
      <c r="A28" s="214" t="s">
        <v>139</v>
      </c>
      <c r="B28" s="32">
        <f>EstBulkSurpPoolMilkUtPerc</f>
        <v>0</v>
      </c>
    </row>
    <row r="29" spans="1:2" x14ac:dyDescent="0.25">
      <c r="B29" s="31"/>
    </row>
    <row r="30" spans="1:2" x14ac:dyDescent="0.25">
      <c r="A30" t="s">
        <v>142</v>
      </c>
      <c r="B30" s="39">
        <f>'Quota Price Estimator'!F59</f>
        <v>-1.78</v>
      </c>
    </row>
    <row r="32" spans="1:2" hidden="1" x14ac:dyDescent="0.25"/>
    <row r="33" spans="1:2" hidden="1" x14ac:dyDescent="0.25"/>
    <row r="34" spans="1:2" ht="30" hidden="1" x14ac:dyDescent="0.25">
      <c r="B34" s="4" t="s">
        <v>185</v>
      </c>
    </row>
    <row r="35" spans="1:2" hidden="1" x14ac:dyDescent="0.25">
      <c r="A35" t="s">
        <v>167</v>
      </c>
      <c r="B35" s="247">
        <f>'Dairy Revenue Estimator'!B9</f>
        <v>21.821636425784138</v>
      </c>
    </row>
    <row r="36" spans="1:2" hidden="1" x14ac:dyDescent="0.25">
      <c r="A36" t="s">
        <v>168</v>
      </c>
      <c r="B36" s="248">
        <f>'Dairy Revenue Estimator'!C9</f>
        <v>1.8429657949999996</v>
      </c>
    </row>
    <row r="37" spans="1:2" hidden="1" x14ac:dyDescent="0.25">
      <c r="A37" t="s">
        <v>169</v>
      </c>
      <c r="B37" s="248">
        <f>'Dairy Revenue Estimator'!D9</f>
        <v>0.15928762842781494</v>
      </c>
    </row>
    <row r="38" spans="1:2" hidden="1" x14ac:dyDescent="0.25">
      <c r="B38" s="245"/>
    </row>
    <row r="39" spans="1:2" hidden="1" x14ac:dyDescent="0.25">
      <c r="A39" t="s">
        <v>19</v>
      </c>
      <c r="B39" s="249">
        <f>'Quota Price Estimator'!B13</f>
        <v>14633370</v>
      </c>
    </row>
    <row r="40" spans="1:2" hidden="1" x14ac:dyDescent="0.25">
      <c r="B40" s="245"/>
    </row>
    <row r="41" spans="1:2" hidden="1" x14ac:dyDescent="0.25">
      <c r="A41" t="s">
        <v>170</v>
      </c>
      <c r="B41" s="250">
        <f>'Quota Price Estimator'!B7</f>
        <v>4.1921E-2</v>
      </c>
    </row>
    <row r="42" spans="1:2" hidden="1" x14ac:dyDescent="0.25">
      <c r="B42" s="246"/>
    </row>
    <row r="43" spans="1:2" hidden="1" x14ac:dyDescent="0.25">
      <c r="A43" t="s">
        <v>171</v>
      </c>
      <c r="B43" s="250">
        <f>'Quota Price Estimator'!B8</f>
        <v>1.4473E-2</v>
      </c>
    </row>
    <row r="44" spans="1:2" hidden="1" x14ac:dyDescent="0.25">
      <c r="B44" s="245"/>
    </row>
    <row r="45" spans="1:2" hidden="1" x14ac:dyDescent="0.25">
      <c r="A45" t="s">
        <v>172</v>
      </c>
      <c r="B45" s="251">
        <f>'Quota Price Estimator'!H16</f>
        <v>0.51379999999999992</v>
      </c>
    </row>
    <row r="46" spans="1:2" hidden="1" x14ac:dyDescent="0.25">
      <c r="A46" t="s">
        <v>173</v>
      </c>
      <c r="B46" s="251">
        <f>'Quota Price Estimator'!H17</f>
        <v>0.17219999999999996</v>
      </c>
    </row>
    <row r="47" spans="1:2" hidden="1" x14ac:dyDescent="0.25">
      <c r="A47" t="s">
        <v>174</v>
      </c>
      <c r="B47" s="251">
        <f>'Quota Price Estimator'!H18</f>
        <v>0.314</v>
      </c>
    </row>
    <row r="48" spans="1:2" hidden="1" x14ac:dyDescent="0.25">
      <c r="B48" s="246"/>
    </row>
    <row r="49" spans="1:2" hidden="1" x14ac:dyDescent="0.25">
      <c r="A49" t="s">
        <v>175</v>
      </c>
      <c r="B49" s="251">
        <f>'Quota Price Estimator'!I16</f>
        <v>0.90049999999999997</v>
      </c>
    </row>
    <row r="50" spans="1:2" hidden="1" x14ac:dyDescent="0.25">
      <c r="A50" t="s">
        <v>176</v>
      </c>
      <c r="B50" s="251">
        <f>'Quota Price Estimator'!I17</f>
        <v>0.43140000000000001</v>
      </c>
    </row>
    <row r="51" spans="1:2" hidden="1" x14ac:dyDescent="0.25">
      <c r="A51" t="s">
        <v>177</v>
      </c>
      <c r="B51" s="251">
        <f>'Quota Price Estimator'!I18</f>
        <v>0.10369999999999999</v>
      </c>
    </row>
    <row r="52" spans="1:2" hidden="1" x14ac:dyDescent="0.25">
      <c r="B52" s="245"/>
    </row>
    <row r="53" spans="1:2" hidden="1" x14ac:dyDescent="0.25">
      <c r="A53" t="s">
        <v>178</v>
      </c>
      <c r="B53" s="252">
        <f>ROUND('Quota Price Estimator'!B42/100,2)</f>
        <v>27080.21</v>
      </c>
    </row>
    <row r="54" spans="1:2" hidden="1" x14ac:dyDescent="0.25">
      <c r="A54" t="s">
        <v>179</v>
      </c>
      <c r="B54" s="253">
        <f>SurplusAdjustmentPckgClassI</f>
        <v>-72120.160000000003</v>
      </c>
    </row>
    <row r="55" spans="1:2" hidden="1" x14ac:dyDescent="0.25">
      <c r="B55" s="245"/>
    </row>
    <row r="56" spans="1:2" hidden="1" x14ac:dyDescent="0.25">
      <c r="A56" t="s">
        <v>180</v>
      </c>
      <c r="B56" s="252">
        <f>ROUND('Quota Price Estimator'!B56/100,2)</f>
        <v>0</v>
      </c>
    </row>
    <row r="57" spans="1:2" hidden="1" x14ac:dyDescent="0.25">
      <c r="A57" t="s">
        <v>181</v>
      </c>
      <c r="B57" s="253">
        <f>'Quota Price Estimator'!F59</f>
        <v>-1.78</v>
      </c>
    </row>
    <row r="58" spans="1:2" hidden="1" x14ac:dyDescent="0.25">
      <c r="A58" t="s">
        <v>182</v>
      </c>
      <c r="B58" s="253">
        <f>SurplusAdjustmentBulkSales</f>
        <v>0</v>
      </c>
    </row>
    <row r="59" spans="1:2" hidden="1" x14ac:dyDescent="0.25">
      <c r="B59" s="245"/>
    </row>
    <row r="60" spans="1:2" hidden="1" x14ac:dyDescent="0.25">
      <c r="A60" t="s">
        <v>183</v>
      </c>
      <c r="B60" s="253">
        <f>'Quota Price Estimator'!D27</f>
        <v>-51750</v>
      </c>
    </row>
    <row r="61" spans="1:2" hidden="1" x14ac:dyDescent="0.25">
      <c r="B61" s="245"/>
    </row>
    <row r="62" spans="1:2" hidden="1" x14ac:dyDescent="0.25">
      <c r="A62" s="40" t="s">
        <v>184</v>
      </c>
      <c r="B62" s="253">
        <f>'Quota Price Estimator'!B30</f>
        <v>3360582.772826008</v>
      </c>
    </row>
    <row r="63" spans="1:2" hidden="1" x14ac:dyDescent="0.25"/>
    <row r="64" spans="1:2" hidden="1" x14ac:dyDescent="0.25"/>
    <row r="65" hidden="1" x14ac:dyDescent="0.25"/>
    <row r="66" hidden="1" x14ac:dyDescent="0.25"/>
  </sheetData>
  <sheetProtection algorithmName="SHA-512" hashValue="S7lAgKZ7pWUVhfnT+qqcOwvgjdCrCOwsGw2/yghNcpUQmDQ10Cf56rHWId8Le873b64+3+udB4CbX7uJTxqFIg==" saltValue="QVdAz129qcQ5JFraJ/wp1A==" spinCount="100000" sheet="1" objects="1" scenarios="1"/>
  <pageMargins left="0.7" right="0.7" top="0.75" bottom="0.75" header="0.3" footer="0.3"/>
  <pageSetup scale="9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39997558519241921"/>
    <pageSetUpPr fitToPage="1"/>
  </sheetPr>
  <dimension ref="A1:W144"/>
  <sheetViews>
    <sheetView topLeftCell="A106" workbookViewId="0">
      <selection activeCell="A131" sqref="A131:XFD141"/>
    </sheetView>
  </sheetViews>
  <sheetFormatPr defaultRowHeight="15" x14ac:dyDescent="0.25"/>
  <cols>
    <col min="1" max="1" width="24.85546875" customWidth="1"/>
    <col min="2" max="2" width="12.140625" bestFit="1" customWidth="1"/>
    <col min="4" max="4" width="11.140625" bestFit="1" customWidth="1"/>
    <col min="5" max="5" width="10.140625" bestFit="1" customWidth="1"/>
    <col min="6" max="6" width="5.28515625" customWidth="1"/>
    <col min="7" max="7" width="17.5703125" customWidth="1"/>
    <col min="8" max="8" width="10.140625" bestFit="1" customWidth="1"/>
    <col min="13" max="13" width="13.42578125" customWidth="1"/>
    <col min="14" max="14" width="20.42578125" bestFit="1" customWidth="1"/>
    <col min="15" max="15" width="11.42578125" customWidth="1"/>
    <col min="16" max="16" width="9.140625" customWidth="1"/>
    <col min="17" max="17" width="11.7109375" customWidth="1"/>
  </cols>
  <sheetData>
    <row r="1" spans="1:23" x14ac:dyDescent="0.25">
      <c r="A1" s="16" t="s">
        <v>63</v>
      </c>
      <c r="B1" s="16"/>
      <c r="C1" s="16"/>
      <c r="D1" s="16"/>
      <c r="E1" s="16"/>
      <c r="F1" s="12"/>
      <c r="G1" s="16" t="s">
        <v>64</v>
      </c>
      <c r="H1" s="17"/>
      <c r="I1" s="17"/>
      <c r="J1" s="19"/>
      <c r="K1" s="19"/>
    </row>
    <row r="2" spans="1:23" x14ac:dyDescent="0.25">
      <c r="A2" s="18" t="s">
        <v>0</v>
      </c>
      <c r="B2" s="18" t="s">
        <v>21</v>
      </c>
      <c r="C2" s="18" t="s">
        <v>22</v>
      </c>
      <c r="D2" s="18" t="s">
        <v>23</v>
      </c>
      <c r="E2" s="18" t="s">
        <v>54</v>
      </c>
      <c r="G2" s="18" t="s">
        <v>0</v>
      </c>
      <c r="H2" s="18" t="s">
        <v>21</v>
      </c>
      <c r="I2" s="18" t="s">
        <v>22</v>
      </c>
      <c r="J2" s="18" t="s">
        <v>23</v>
      </c>
      <c r="K2" s="18" t="s">
        <v>54</v>
      </c>
      <c r="P2" s="215"/>
      <c r="Q2" s="215"/>
      <c r="R2" s="215"/>
      <c r="U2" s="215"/>
      <c r="V2" s="215"/>
      <c r="W2" s="215"/>
    </row>
    <row r="3" spans="1:23" x14ac:dyDescent="0.25">
      <c r="A3" s="14">
        <v>42278</v>
      </c>
      <c r="B3" s="13">
        <v>0.41133500000000001</v>
      </c>
      <c r="C3" s="13">
        <v>7.1695999999999996E-2</v>
      </c>
      <c r="D3" s="13">
        <v>0.51696900000000001</v>
      </c>
      <c r="E3" s="13">
        <f t="shared" ref="E3:E93" si="0">SUM(B3:D3)</f>
        <v>1</v>
      </c>
      <c r="G3" s="15">
        <v>42278</v>
      </c>
      <c r="H3" s="13">
        <v>0.84585600000000005</v>
      </c>
      <c r="I3" s="13">
        <v>2.1812000000000002E-2</v>
      </c>
      <c r="J3" s="13">
        <v>0.13233200000000001</v>
      </c>
      <c r="K3" s="13">
        <f t="shared" ref="K3:K93" si="1">SUM(H3:J3)</f>
        <v>1</v>
      </c>
      <c r="M3" s="216" t="s">
        <v>213</v>
      </c>
    </row>
    <row r="4" spans="1:23" x14ac:dyDescent="0.25">
      <c r="A4" s="14">
        <v>42309</v>
      </c>
      <c r="B4" s="13">
        <v>0.427649</v>
      </c>
      <c r="C4" s="13">
        <v>5.7977000000000001E-2</v>
      </c>
      <c r="D4" s="13">
        <v>0.514374</v>
      </c>
      <c r="E4" s="13">
        <f t="shared" si="0"/>
        <v>1</v>
      </c>
      <c r="G4" s="15">
        <v>42309</v>
      </c>
      <c r="H4" s="13">
        <v>0.88694600000000001</v>
      </c>
      <c r="I4" s="13">
        <v>1.8148999999999998E-2</v>
      </c>
      <c r="J4" s="13">
        <v>9.4905000000000003E-2</v>
      </c>
      <c r="K4" s="13">
        <f t="shared" si="1"/>
        <v>1</v>
      </c>
    </row>
    <row r="5" spans="1:23" x14ac:dyDescent="0.25">
      <c r="A5" s="14">
        <v>42339</v>
      </c>
      <c r="B5" s="13">
        <v>0.42487599999999998</v>
      </c>
      <c r="C5" s="13">
        <v>5.4695000000000001E-2</v>
      </c>
      <c r="D5" s="13">
        <v>0.52042900000000003</v>
      </c>
      <c r="E5" s="13">
        <f t="shared" si="0"/>
        <v>1</v>
      </c>
      <c r="G5" s="15">
        <v>42339</v>
      </c>
      <c r="H5" s="13">
        <v>0.85911800000000005</v>
      </c>
      <c r="I5" s="13">
        <v>1.5858000000000001E-2</v>
      </c>
      <c r="J5" s="13">
        <v>0.125024</v>
      </c>
      <c r="K5" s="13">
        <f t="shared" si="1"/>
        <v>1</v>
      </c>
    </row>
    <row r="6" spans="1:23" x14ac:dyDescent="0.25">
      <c r="A6" s="14">
        <v>42370</v>
      </c>
      <c r="B6" s="13">
        <v>0.39219700000000002</v>
      </c>
      <c r="C6" s="13">
        <v>5.1583999999999998E-2</v>
      </c>
      <c r="D6" s="13">
        <v>0.55621900000000002</v>
      </c>
      <c r="E6" s="13">
        <f t="shared" si="0"/>
        <v>1</v>
      </c>
      <c r="G6" s="15">
        <v>42370</v>
      </c>
      <c r="H6" s="13">
        <v>0.82227099999999997</v>
      </c>
      <c r="I6" s="13">
        <v>1.6168999999999999E-2</v>
      </c>
      <c r="J6" s="13">
        <v>0.16156100000000001</v>
      </c>
      <c r="K6" s="13">
        <f t="shared" si="1"/>
        <v>1.0000009999999999</v>
      </c>
    </row>
    <row r="7" spans="1:23" x14ac:dyDescent="0.25">
      <c r="A7" s="14">
        <v>42401</v>
      </c>
      <c r="B7" s="13">
        <v>0.40880100000000003</v>
      </c>
      <c r="C7" s="13">
        <v>7.0786000000000002E-2</v>
      </c>
      <c r="D7" s="13">
        <v>0.52041300000000001</v>
      </c>
      <c r="E7" s="13">
        <f t="shared" si="0"/>
        <v>1</v>
      </c>
      <c r="G7" s="15">
        <v>42401</v>
      </c>
      <c r="H7" s="13">
        <v>0.84397299999999997</v>
      </c>
      <c r="I7" s="13">
        <v>2.2845000000000001E-2</v>
      </c>
      <c r="J7" s="13">
        <v>0.13318199999999999</v>
      </c>
      <c r="K7" s="13">
        <f t="shared" si="1"/>
        <v>1</v>
      </c>
    </row>
    <row r="8" spans="1:23" x14ac:dyDescent="0.25">
      <c r="A8" s="14">
        <v>42430</v>
      </c>
      <c r="B8" s="13">
        <v>0.40852300000000003</v>
      </c>
      <c r="C8" s="13">
        <v>8.6778999999999995E-2</v>
      </c>
      <c r="D8" s="13">
        <v>0.50469699999999995</v>
      </c>
      <c r="E8" s="13">
        <f t="shared" si="0"/>
        <v>0.99999899999999997</v>
      </c>
      <c r="G8" s="15">
        <v>42430</v>
      </c>
      <c r="H8" s="13">
        <v>0.83108199999999999</v>
      </c>
      <c r="I8" s="13">
        <v>2.7845000000000002E-2</v>
      </c>
      <c r="J8" s="13">
        <v>0.141073</v>
      </c>
      <c r="K8" s="13">
        <f t="shared" si="1"/>
        <v>1</v>
      </c>
    </row>
    <row r="9" spans="1:23" x14ac:dyDescent="0.25">
      <c r="A9" s="14">
        <v>42461</v>
      </c>
      <c r="B9" s="13">
        <v>0.39904299999999998</v>
      </c>
      <c r="C9" s="13">
        <v>9.0630000000000002E-2</v>
      </c>
      <c r="D9" s="13">
        <v>0.51032699999999998</v>
      </c>
      <c r="E9" s="13">
        <f t="shared" si="0"/>
        <v>1</v>
      </c>
      <c r="G9" s="15">
        <v>42461</v>
      </c>
      <c r="H9" s="13">
        <v>0.81999599999999995</v>
      </c>
      <c r="I9" s="13">
        <v>2.8832E-2</v>
      </c>
      <c r="J9" s="13">
        <v>0.151171</v>
      </c>
      <c r="K9" s="13">
        <f t="shared" si="1"/>
        <v>0.99999899999999986</v>
      </c>
    </row>
    <row r="10" spans="1:23" x14ac:dyDescent="0.25">
      <c r="A10" s="14">
        <v>42491</v>
      </c>
      <c r="B10" s="13">
        <v>0.41099599999999997</v>
      </c>
      <c r="C10" s="13">
        <v>0.11336599999999999</v>
      </c>
      <c r="D10" s="13">
        <v>0.47563800000000001</v>
      </c>
      <c r="E10" s="13">
        <f t="shared" si="0"/>
        <v>1</v>
      </c>
      <c r="G10" s="15">
        <v>42491</v>
      </c>
      <c r="H10" s="13">
        <v>0.81440199999999996</v>
      </c>
      <c r="I10" s="13">
        <v>3.6022999999999999E-2</v>
      </c>
      <c r="J10" s="13">
        <v>0.14957500000000001</v>
      </c>
      <c r="K10" s="13">
        <f t="shared" si="1"/>
        <v>1</v>
      </c>
    </row>
    <row r="11" spans="1:23" x14ac:dyDescent="0.25">
      <c r="A11" s="14">
        <v>42522</v>
      </c>
      <c r="B11" s="13">
        <v>0.42266300000000001</v>
      </c>
      <c r="C11" s="13">
        <v>0.134741</v>
      </c>
      <c r="D11" s="13">
        <v>0.44259700000000002</v>
      </c>
      <c r="E11" s="13">
        <f t="shared" si="0"/>
        <v>1.0000010000000001</v>
      </c>
      <c r="G11" s="15">
        <v>42522</v>
      </c>
      <c r="H11" s="13">
        <v>0.78642599999999996</v>
      </c>
      <c r="I11" s="13">
        <v>4.2453999999999999E-2</v>
      </c>
      <c r="J11" s="13">
        <v>0.17111999999999999</v>
      </c>
      <c r="K11" s="13">
        <f t="shared" si="1"/>
        <v>1</v>
      </c>
    </row>
    <row r="12" spans="1:23" x14ac:dyDescent="0.25">
      <c r="A12" s="14">
        <v>42552</v>
      </c>
      <c r="B12" s="13">
        <v>0.405254</v>
      </c>
      <c r="C12" s="13">
        <v>0.133377</v>
      </c>
      <c r="D12" s="13">
        <v>0.46136899999999997</v>
      </c>
      <c r="E12" s="13">
        <f t="shared" si="0"/>
        <v>1</v>
      </c>
      <c r="G12" s="15">
        <v>42552</v>
      </c>
      <c r="H12" s="13">
        <v>0.77813100000000002</v>
      </c>
      <c r="I12" s="13">
        <v>3.9599000000000002E-2</v>
      </c>
      <c r="J12" s="13">
        <v>0.18226999999999999</v>
      </c>
      <c r="K12" s="13">
        <f t="shared" si="1"/>
        <v>1</v>
      </c>
    </row>
    <row r="13" spans="1:23" x14ac:dyDescent="0.25">
      <c r="A13" s="14">
        <v>42583</v>
      </c>
      <c r="B13" s="13">
        <v>0.42935299999999998</v>
      </c>
      <c r="C13" s="13">
        <v>0.14240800000000001</v>
      </c>
      <c r="D13" s="13">
        <v>0.42823899999999998</v>
      </c>
      <c r="E13" s="13">
        <f t="shared" si="0"/>
        <v>1</v>
      </c>
      <c r="G13" s="15">
        <v>42583</v>
      </c>
      <c r="H13" s="13">
        <v>0.85034500000000002</v>
      </c>
      <c r="I13" s="13">
        <v>4.3382999999999998E-2</v>
      </c>
      <c r="J13" s="13">
        <v>0.10627200000000001</v>
      </c>
      <c r="K13" s="13">
        <f t="shared" si="1"/>
        <v>1</v>
      </c>
    </row>
    <row r="14" spans="1:23" x14ac:dyDescent="0.25">
      <c r="A14" s="14">
        <v>42614</v>
      </c>
      <c r="B14" s="13">
        <v>0.43928699999999998</v>
      </c>
      <c r="C14" s="13">
        <v>9.2137999999999998E-2</v>
      </c>
      <c r="D14" s="13">
        <v>0.46857399999999999</v>
      </c>
      <c r="E14" s="13">
        <f t="shared" si="0"/>
        <v>0.99999900000000008</v>
      </c>
      <c r="G14" s="15">
        <v>42614</v>
      </c>
      <c r="H14" s="13">
        <v>0.90245900000000001</v>
      </c>
      <c r="I14" s="13">
        <v>2.2818000000000001E-2</v>
      </c>
      <c r="J14" s="13">
        <v>7.4722999999999998E-2</v>
      </c>
      <c r="K14" s="13">
        <f t="shared" si="1"/>
        <v>1</v>
      </c>
    </row>
    <row r="15" spans="1:23" x14ac:dyDescent="0.25">
      <c r="A15" s="14">
        <v>42644</v>
      </c>
      <c r="B15" s="13">
        <v>0.412688</v>
      </c>
      <c r="C15" s="13">
        <v>7.8406000000000003E-2</v>
      </c>
      <c r="D15" s="13">
        <v>0.50890599999999997</v>
      </c>
      <c r="E15" s="13">
        <f t="shared" si="0"/>
        <v>1</v>
      </c>
      <c r="G15" s="15">
        <v>42644</v>
      </c>
      <c r="H15" s="13">
        <v>0.87541800000000003</v>
      </c>
      <c r="I15" s="13">
        <v>2.0958000000000001E-2</v>
      </c>
      <c r="J15" s="13">
        <v>0.10362399999999999</v>
      </c>
      <c r="K15" s="13">
        <f t="shared" si="1"/>
        <v>1</v>
      </c>
    </row>
    <row r="16" spans="1:23" x14ac:dyDescent="0.25">
      <c r="A16" s="14">
        <v>42675</v>
      </c>
      <c r="B16" s="13">
        <v>0.42609999999999998</v>
      </c>
      <c r="C16" s="13">
        <v>7.4700000000000003E-2</v>
      </c>
      <c r="D16" s="13">
        <v>0.49919999999999998</v>
      </c>
      <c r="E16" s="13">
        <f t="shared" si="0"/>
        <v>1</v>
      </c>
      <c r="G16" s="15">
        <v>42675</v>
      </c>
      <c r="H16" s="13">
        <v>0.88200000000000001</v>
      </c>
      <c r="I16" s="13">
        <v>2.1600000000000001E-2</v>
      </c>
      <c r="J16" s="13">
        <v>9.64E-2</v>
      </c>
      <c r="K16" s="13">
        <f t="shared" si="1"/>
        <v>1</v>
      </c>
    </row>
    <row r="17" spans="1:11" x14ac:dyDescent="0.25">
      <c r="A17" s="14">
        <v>42705</v>
      </c>
      <c r="B17" s="13">
        <v>0.42899999999999999</v>
      </c>
      <c r="C17" s="13">
        <v>4.7699999999999999E-2</v>
      </c>
      <c r="D17" s="13">
        <v>0.52329999999999999</v>
      </c>
      <c r="E17" s="13">
        <f t="shared" si="0"/>
        <v>1</v>
      </c>
      <c r="G17" s="15">
        <v>42705</v>
      </c>
      <c r="H17" s="13">
        <v>0.86380000000000001</v>
      </c>
      <c r="I17" s="13">
        <v>1.2800000000000001E-2</v>
      </c>
      <c r="J17" s="13">
        <v>0.1234</v>
      </c>
      <c r="K17" s="13">
        <f t="shared" si="1"/>
        <v>1</v>
      </c>
    </row>
    <row r="18" spans="1:11" x14ac:dyDescent="0.25">
      <c r="A18" s="14">
        <v>42736</v>
      </c>
      <c r="B18" s="13">
        <v>0.4355</v>
      </c>
      <c r="C18" s="13">
        <v>7.0099999999999996E-2</v>
      </c>
      <c r="D18" s="13">
        <v>0.49440000000000001</v>
      </c>
      <c r="E18" s="13">
        <f t="shared" si="0"/>
        <v>1</v>
      </c>
      <c r="G18" s="15">
        <v>42736</v>
      </c>
      <c r="H18" s="13">
        <v>0.8911</v>
      </c>
      <c r="I18" s="13">
        <v>1.55E-2</v>
      </c>
      <c r="J18" s="13">
        <v>9.3399999999999997E-2</v>
      </c>
      <c r="K18" s="13">
        <f t="shared" si="1"/>
        <v>1</v>
      </c>
    </row>
    <row r="19" spans="1:11" x14ac:dyDescent="0.25">
      <c r="A19" s="14">
        <v>42767</v>
      </c>
      <c r="B19" s="13">
        <v>0.42380000000000001</v>
      </c>
      <c r="C19" s="13">
        <v>7.0999999999999994E-2</v>
      </c>
      <c r="D19" s="13">
        <v>0.50519999999999998</v>
      </c>
      <c r="E19" s="13">
        <f t="shared" si="0"/>
        <v>1</v>
      </c>
      <c r="G19" s="15">
        <v>42767</v>
      </c>
      <c r="H19" s="13">
        <v>0.88139999999999996</v>
      </c>
      <c r="I19" s="13">
        <v>2.3099999999999999E-2</v>
      </c>
      <c r="J19" s="13">
        <v>9.5500000000000002E-2</v>
      </c>
      <c r="K19" s="13">
        <f t="shared" si="1"/>
        <v>1</v>
      </c>
    </row>
    <row r="20" spans="1:11" x14ac:dyDescent="0.25">
      <c r="A20" s="14">
        <v>42795</v>
      </c>
      <c r="B20" s="13">
        <v>0.44119999999999998</v>
      </c>
      <c r="C20" s="13">
        <v>7.8899999999999998E-2</v>
      </c>
      <c r="D20" s="13">
        <v>0.47989999999999999</v>
      </c>
      <c r="E20" s="13">
        <f t="shared" si="0"/>
        <v>1</v>
      </c>
      <c r="G20" s="15">
        <v>42795</v>
      </c>
      <c r="H20" s="13">
        <v>0.90280000000000005</v>
      </c>
      <c r="I20" s="13">
        <v>2.1600000000000001E-2</v>
      </c>
      <c r="J20" s="13">
        <v>7.5600000000000001E-2</v>
      </c>
      <c r="K20" s="13">
        <f t="shared" si="1"/>
        <v>1</v>
      </c>
    </row>
    <row r="21" spans="1:11" x14ac:dyDescent="0.25">
      <c r="A21" s="14">
        <v>42826</v>
      </c>
      <c r="B21" s="13">
        <v>0.40710000000000002</v>
      </c>
      <c r="C21" s="13">
        <v>9.0499999999999997E-2</v>
      </c>
      <c r="D21" s="13">
        <v>0.50239999999999996</v>
      </c>
      <c r="E21" s="13">
        <f t="shared" si="0"/>
        <v>1</v>
      </c>
      <c r="G21" s="15">
        <v>42826</v>
      </c>
      <c r="H21" s="13">
        <v>0.82530000000000003</v>
      </c>
      <c r="I21" s="13">
        <v>2.75E-2</v>
      </c>
      <c r="J21" s="13">
        <v>0.1472</v>
      </c>
      <c r="K21" s="13">
        <f t="shared" si="1"/>
        <v>1</v>
      </c>
    </row>
    <row r="22" spans="1:11" x14ac:dyDescent="0.25">
      <c r="A22" s="14">
        <v>42856</v>
      </c>
      <c r="B22" s="13">
        <v>0.4178</v>
      </c>
      <c r="C22" s="13">
        <v>0.12809999999999999</v>
      </c>
      <c r="D22" s="13">
        <v>0.4541</v>
      </c>
      <c r="E22" s="13">
        <f t="shared" si="0"/>
        <v>1</v>
      </c>
      <c r="G22" s="15"/>
      <c r="H22" s="13"/>
      <c r="I22" s="13"/>
      <c r="J22" s="13">
        <v>0.1188</v>
      </c>
      <c r="K22" s="13">
        <f t="shared" si="1"/>
        <v>0.1188</v>
      </c>
    </row>
    <row r="23" spans="1:11" x14ac:dyDescent="0.25">
      <c r="A23" s="14">
        <v>42887</v>
      </c>
      <c r="B23" s="13">
        <v>0.43240000000000001</v>
      </c>
      <c r="C23" s="13">
        <v>0.12590000000000001</v>
      </c>
      <c r="D23" s="13">
        <v>0.44169999999999998</v>
      </c>
      <c r="E23" s="13">
        <f t="shared" si="0"/>
        <v>1</v>
      </c>
      <c r="G23" s="15"/>
      <c r="H23" s="13"/>
      <c r="I23" s="13"/>
      <c r="J23" s="13">
        <v>0.14030000000000001</v>
      </c>
      <c r="K23" s="13">
        <f t="shared" si="1"/>
        <v>0.14030000000000001</v>
      </c>
    </row>
    <row r="24" spans="1:11" x14ac:dyDescent="0.25">
      <c r="A24" s="14">
        <v>42917</v>
      </c>
      <c r="B24" s="13">
        <v>0.41020000000000001</v>
      </c>
      <c r="C24" s="13">
        <v>0.14299999999999999</v>
      </c>
      <c r="D24" s="13">
        <v>0.44679999999999997</v>
      </c>
      <c r="E24" s="13">
        <f t="shared" si="0"/>
        <v>1</v>
      </c>
      <c r="G24" s="15"/>
      <c r="H24" s="13"/>
      <c r="I24" s="13"/>
      <c r="J24" s="13">
        <v>0.18060000000000001</v>
      </c>
      <c r="K24" s="13">
        <f t="shared" si="1"/>
        <v>0.18060000000000001</v>
      </c>
    </row>
    <row r="25" spans="1:11" x14ac:dyDescent="0.25">
      <c r="A25" s="14">
        <v>42948</v>
      </c>
      <c r="B25" s="13">
        <v>0.44590000000000002</v>
      </c>
      <c r="C25" s="13">
        <v>0.14169999999999999</v>
      </c>
      <c r="D25" s="13">
        <v>0.41239999999999999</v>
      </c>
      <c r="E25" s="13">
        <f t="shared" si="0"/>
        <v>1</v>
      </c>
      <c r="G25" s="15">
        <v>42948</v>
      </c>
      <c r="H25" s="13">
        <v>0.8589</v>
      </c>
      <c r="I25" s="13">
        <v>3.27E-2</v>
      </c>
      <c r="J25" s="13">
        <v>0.1084</v>
      </c>
      <c r="K25" s="13">
        <f t="shared" si="1"/>
        <v>1</v>
      </c>
    </row>
    <row r="26" spans="1:11" x14ac:dyDescent="0.25">
      <c r="A26" s="14">
        <v>42979</v>
      </c>
      <c r="B26" s="13">
        <v>0.44309999999999999</v>
      </c>
      <c r="C26" s="13">
        <v>9.2899999999999996E-2</v>
      </c>
      <c r="D26" s="13">
        <v>0.46400000000000002</v>
      </c>
      <c r="E26" s="13">
        <f t="shared" si="0"/>
        <v>1</v>
      </c>
      <c r="G26" s="15">
        <v>42979</v>
      </c>
      <c r="H26" s="13">
        <v>0.88170000000000004</v>
      </c>
      <c r="I26" s="13">
        <v>1.3599999999999999E-2</v>
      </c>
      <c r="J26" s="13">
        <v>0.1047</v>
      </c>
      <c r="K26" s="13">
        <f t="shared" si="1"/>
        <v>1</v>
      </c>
    </row>
    <row r="27" spans="1:11" x14ac:dyDescent="0.25">
      <c r="A27" s="14">
        <v>43009</v>
      </c>
      <c r="B27" s="13">
        <v>0.44440000000000002</v>
      </c>
      <c r="C27" s="13">
        <v>8.5300000000000001E-2</v>
      </c>
      <c r="D27" s="13">
        <v>0.4703</v>
      </c>
      <c r="E27" s="13">
        <f t="shared" si="0"/>
        <v>1</v>
      </c>
      <c r="G27" s="15">
        <v>43009</v>
      </c>
      <c r="H27" s="13">
        <v>0.89300000000000002</v>
      </c>
      <c r="I27" s="13">
        <v>1.9599999999999999E-2</v>
      </c>
      <c r="J27" s="13">
        <v>8.7400000000000005E-2</v>
      </c>
      <c r="K27" s="13">
        <f t="shared" si="1"/>
        <v>1</v>
      </c>
    </row>
    <row r="28" spans="1:11" x14ac:dyDescent="0.25">
      <c r="A28" s="14">
        <v>43040</v>
      </c>
      <c r="B28" s="13">
        <v>0.44990331136963851</v>
      </c>
      <c r="C28" s="13">
        <v>6.2253887412741245E-2</v>
      </c>
      <c r="D28" s="13">
        <v>0.48784280121762025</v>
      </c>
      <c r="E28" s="13">
        <f t="shared" si="0"/>
        <v>1</v>
      </c>
      <c r="G28" s="15">
        <v>43040</v>
      </c>
      <c r="H28" s="13">
        <v>0.89967230149382904</v>
      </c>
      <c r="I28" s="13">
        <v>7.4457581949133912E-3</v>
      </c>
      <c r="J28" s="13">
        <v>9.2881940311257558E-2</v>
      </c>
      <c r="K28" s="13">
        <f t="shared" si="1"/>
        <v>1</v>
      </c>
    </row>
    <row r="29" spans="1:11" x14ac:dyDescent="0.25">
      <c r="A29" s="14">
        <v>43070</v>
      </c>
      <c r="B29" s="13">
        <v>0.43604799875443456</v>
      </c>
      <c r="C29" s="13">
        <v>4.8898453052191419E-2</v>
      </c>
      <c r="D29" s="13">
        <v>0.51505354819337401</v>
      </c>
      <c r="E29" s="13">
        <f t="shared" si="0"/>
        <v>1</v>
      </c>
      <c r="G29" s="15">
        <v>43070</v>
      </c>
      <c r="H29" s="13">
        <v>0.86189683101857939</v>
      </c>
      <c r="I29" s="13">
        <v>1.1736198655778627E-2</v>
      </c>
      <c r="J29" s="13">
        <v>0.12636697032564204</v>
      </c>
      <c r="K29" s="13">
        <f t="shared" si="1"/>
        <v>1</v>
      </c>
    </row>
    <row r="30" spans="1:11" x14ac:dyDescent="0.25">
      <c r="A30" s="14">
        <v>43101</v>
      </c>
      <c r="B30" s="13">
        <v>0.43130000000000002</v>
      </c>
      <c r="C30" s="13">
        <v>6.54E-2</v>
      </c>
      <c r="D30" s="13">
        <v>0.50329999999999997</v>
      </c>
      <c r="E30" s="13">
        <f t="shared" si="0"/>
        <v>1</v>
      </c>
      <c r="G30" s="15">
        <v>43101</v>
      </c>
      <c r="H30" s="13">
        <v>0.88629999999999998</v>
      </c>
      <c r="I30" s="13">
        <v>2.0500000000000001E-2</v>
      </c>
      <c r="J30" s="13">
        <v>9.3200000000000005E-2</v>
      </c>
      <c r="K30" s="13">
        <f t="shared" si="1"/>
        <v>1</v>
      </c>
    </row>
    <row r="31" spans="1:11" x14ac:dyDescent="0.25">
      <c r="A31" s="14">
        <v>43132</v>
      </c>
      <c r="B31" s="13">
        <v>0.437</v>
      </c>
      <c r="C31" s="13">
        <v>6.8099999999999994E-2</v>
      </c>
      <c r="D31" s="13">
        <v>0.49490000000000001</v>
      </c>
      <c r="E31" s="13">
        <f t="shared" si="0"/>
        <v>1</v>
      </c>
      <c r="G31" s="15">
        <v>43132</v>
      </c>
      <c r="H31" s="13">
        <v>0.87080000000000002</v>
      </c>
      <c r="I31" s="13">
        <v>2.0400000000000001E-2</v>
      </c>
      <c r="J31" s="13">
        <v>0.10879999999999999</v>
      </c>
      <c r="K31" s="13">
        <f t="shared" si="1"/>
        <v>1</v>
      </c>
    </row>
    <row r="32" spans="1:11" x14ac:dyDescent="0.25">
      <c r="A32" s="14">
        <v>43160</v>
      </c>
      <c r="B32" s="13">
        <v>0.43990000000000001</v>
      </c>
      <c r="C32" s="13">
        <v>7.3599999999999999E-2</v>
      </c>
      <c r="D32" s="13">
        <v>0.48649999999999999</v>
      </c>
      <c r="E32" s="13">
        <f t="shared" si="0"/>
        <v>1</v>
      </c>
      <c r="G32" s="15">
        <v>43160</v>
      </c>
      <c r="H32" s="13">
        <v>0.86509999999999998</v>
      </c>
      <c r="I32" s="13">
        <v>2.3400000000000001E-2</v>
      </c>
      <c r="J32" s="13">
        <v>0.1115</v>
      </c>
      <c r="K32" s="13">
        <f t="shared" si="1"/>
        <v>1</v>
      </c>
    </row>
    <row r="33" spans="1:11" x14ac:dyDescent="0.25">
      <c r="A33" s="14">
        <v>43191</v>
      </c>
      <c r="B33" s="13">
        <v>0.424130309380642</v>
      </c>
      <c r="C33" s="13">
        <v>9.7094342316031368E-2</v>
      </c>
      <c r="D33" s="13">
        <v>0.47877534830332663</v>
      </c>
      <c r="E33" s="13">
        <f t="shared" si="0"/>
        <v>1</v>
      </c>
      <c r="G33" s="15">
        <v>43191</v>
      </c>
      <c r="H33" s="13">
        <v>0.8447307476592878</v>
      </c>
      <c r="I33" s="13">
        <v>2.0523202062582409E-2</v>
      </c>
      <c r="J33" s="13">
        <v>0.13474605027812975</v>
      </c>
      <c r="K33" s="13">
        <f t="shared" si="1"/>
        <v>1</v>
      </c>
    </row>
    <row r="34" spans="1:11" x14ac:dyDescent="0.25">
      <c r="A34" s="14">
        <v>43221</v>
      </c>
      <c r="B34" s="13">
        <v>0.4209</v>
      </c>
      <c r="C34" s="13">
        <v>0.1303</v>
      </c>
      <c r="D34" s="13">
        <v>0.44879999999999998</v>
      </c>
      <c r="E34" s="13">
        <f t="shared" si="0"/>
        <v>1</v>
      </c>
      <c r="G34" s="15">
        <v>43221</v>
      </c>
      <c r="H34" s="13">
        <v>0.82499999999999996</v>
      </c>
      <c r="I34" s="13">
        <v>3.0300000000000001E-2</v>
      </c>
      <c r="J34" s="13">
        <v>0.1447</v>
      </c>
      <c r="K34" s="13">
        <f t="shared" si="1"/>
        <v>1</v>
      </c>
    </row>
    <row r="35" spans="1:11" x14ac:dyDescent="0.25">
      <c r="A35" s="14">
        <v>43252</v>
      </c>
      <c r="B35" s="13">
        <v>0.42670000000000002</v>
      </c>
      <c r="C35" s="13">
        <v>0.1313</v>
      </c>
      <c r="D35" s="13">
        <v>0.442</v>
      </c>
      <c r="E35" s="13">
        <f t="shared" si="0"/>
        <v>1</v>
      </c>
      <c r="G35" s="15">
        <v>43252</v>
      </c>
      <c r="H35" s="13">
        <v>0.78110000000000002</v>
      </c>
      <c r="I35" s="13">
        <v>4.0899999999999999E-2</v>
      </c>
      <c r="J35" s="13">
        <v>0.17799999999999999</v>
      </c>
      <c r="K35" s="13">
        <f t="shared" si="1"/>
        <v>1</v>
      </c>
    </row>
    <row r="36" spans="1:11" x14ac:dyDescent="0.25">
      <c r="A36" s="14">
        <v>43282</v>
      </c>
      <c r="B36" s="13">
        <v>0.44314517595254599</v>
      </c>
      <c r="C36" s="13">
        <v>0.16618750520508932</v>
      </c>
      <c r="D36" s="13">
        <v>0.39066731884236466</v>
      </c>
      <c r="E36" s="13">
        <f t="shared" si="0"/>
        <v>1</v>
      </c>
      <c r="G36" s="15">
        <v>43282</v>
      </c>
      <c r="H36" s="13">
        <v>0.81037297667595609</v>
      </c>
      <c r="I36" s="13">
        <v>4.9277781364436841E-2</v>
      </c>
      <c r="J36" s="13">
        <v>0.14034924195960705</v>
      </c>
      <c r="K36" s="13">
        <f t="shared" si="1"/>
        <v>1</v>
      </c>
    </row>
    <row r="37" spans="1:11" x14ac:dyDescent="0.25">
      <c r="A37" s="14">
        <v>43313</v>
      </c>
      <c r="B37" s="13">
        <v>0.46510000000000001</v>
      </c>
      <c r="C37" s="13">
        <v>0.13730000000000001</v>
      </c>
      <c r="D37" s="13">
        <v>0.39760000000000001</v>
      </c>
      <c r="E37" s="13">
        <f t="shared" si="0"/>
        <v>1</v>
      </c>
      <c r="G37" s="15">
        <v>43313</v>
      </c>
      <c r="H37" s="13">
        <v>0.86799999999999999</v>
      </c>
      <c r="I37" s="13">
        <v>3.8600000000000002E-2</v>
      </c>
      <c r="J37" s="13">
        <v>9.3399999999999997E-2</v>
      </c>
      <c r="K37" s="13">
        <f t="shared" si="1"/>
        <v>1</v>
      </c>
    </row>
    <row r="38" spans="1:11" x14ac:dyDescent="0.25">
      <c r="A38" s="14">
        <v>43344</v>
      </c>
      <c r="B38" s="13">
        <v>0.44330000000000003</v>
      </c>
      <c r="C38" s="13">
        <v>9.6799999999999997E-2</v>
      </c>
      <c r="D38" s="13">
        <v>0.45989999999999998</v>
      </c>
      <c r="E38" s="13">
        <f t="shared" si="0"/>
        <v>1</v>
      </c>
      <c r="G38" s="15">
        <v>43344</v>
      </c>
      <c r="H38" s="13">
        <v>0.87250000000000005</v>
      </c>
      <c r="I38" s="13">
        <v>1.1900000000000001E-2</v>
      </c>
      <c r="J38" s="13">
        <v>0.11559999999999999</v>
      </c>
      <c r="K38" s="13">
        <f t="shared" si="1"/>
        <v>1</v>
      </c>
    </row>
    <row r="39" spans="1:11" x14ac:dyDescent="0.25">
      <c r="A39" s="14">
        <v>43374</v>
      </c>
      <c r="B39" s="13">
        <v>0.46760000000000002</v>
      </c>
      <c r="C39" s="13">
        <v>9.2200000000000004E-2</v>
      </c>
      <c r="D39" s="13">
        <v>0.44019999999999998</v>
      </c>
      <c r="E39" s="13">
        <f t="shared" si="0"/>
        <v>1</v>
      </c>
      <c r="G39" s="15">
        <v>43374</v>
      </c>
      <c r="H39" s="13">
        <v>0.92130000000000001</v>
      </c>
      <c r="I39" s="13">
        <v>1.4E-3</v>
      </c>
      <c r="J39" s="13">
        <v>7.7299999999999994E-2</v>
      </c>
      <c r="K39" s="13">
        <f t="shared" si="1"/>
        <v>1</v>
      </c>
    </row>
    <row r="40" spans="1:11" x14ac:dyDescent="0.25">
      <c r="A40" s="14">
        <v>43405</v>
      </c>
      <c r="B40" s="13">
        <v>0.48299999999999998</v>
      </c>
      <c r="C40" s="13">
        <v>8.7400000000000005E-2</v>
      </c>
      <c r="D40" s="13">
        <v>0.42959999999999998</v>
      </c>
      <c r="E40" s="13">
        <f t="shared" si="0"/>
        <v>1</v>
      </c>
      <c r="G40" s="15">
        <v>43405</v>
      </c>
      <c r="H40" s="13">
        <v>0.93289999999999995</v>
      </c>
      <c r="I40" s="13">
        <v>8.8000000000000005E-3</v>
      </c>
      <c r="J40" s="13">
        <v>5.8299999999999998E-2</v>
      </c>
      <c r="K40" s="13">
        <f t="shared" si="1"/>
        <v>1</v>
      </c>
    </row>
    <row r="41" spans="1:11" x14ac:dyDescent="0.25">
      <c r="A41" s="14">
        <v>43435</v>
      </c>
      <c r="B41" s="13">
        <v>0.45</v>
      </c>
      <c r="C41" s="13">
        <v>6.5199999999999994E-2</v>
      </c>
      <c r="D41" s="13">
        <v>0.48480000000000001</v>
      </c>
      <c r="E41" s="13">
        <f t="shared" si="0"/>
        <v>1</v>
      </c>
      <c r="G41" s="15">
        <v>43435</v>
      </c>
      <c r="H41" s="13">
        <v>0.88480000000000003</v>
      </c>
      <c r="I41" s="13">
        <v>2.0899999999999998E-2</v>
      </c>
      <c r="J41" s="13">
        <v>9.4299999999999995E-2</v>
      </c>
      <c r="K41" s="13">
        <f t="shared" si="1"/>
        <v>1</v>
      </c>
    </row>
    <row r="42" spans="1:11" x14ac:dyDescent="0.25">
      <c r="A42" s="14">
        <v>43466</v>
      </c>
      <c r="B42" s="13">
        <v>0.4531</v>
      </c>
      <c r="C42" s="13">
        <v>8.2799999999999999E-2</v>
      </c>
      <c r="D42" s="13">
        <v>0.46410000000000001</v>
      </c>
      <c r="E42" s="13">
        <f t="shared" si="0"/>
        <v>1</v>
      </c>
      <c r="G42" s="15">
        <v>43466</v>
      </c>
      <c r="H42" s="13">
        <v>0.90710000000000002</v>
      </c>
      <c r="I42" s="13">
        <v>1.72E-2</v>
      </c>
      <c r="J42" s="13">
        <v>7.5700000000000003E-2</v>
      </c>
      <c r="K42" s="13">
        <f t="shared" si="1"/>
        <v>1</v>
      </c>
    </row>
    <row r="43" spans="1:11" x14ac:dyDescent="0.25">
      <c r="A43" s="14">
        <v>43497</v>
      </c>
      <c r="B43" s="13">
        <v>0.43980000000000002</v>
      </c>
      <c r="C43" s="13">
        <v>8.2199999999999995E-2</v>
      </c>
      <c r="D43" s="13">
        <v>0.47799999999999998</v>
      </c>
      <c r="E43" s="13">
        <f t="shared" si="0"/>
        <v>1</v>
      </c>
      <c r="G43" s="15">
        <v>43497</v>
      </c>
      <c r="H43" s="13">
        <v>0.87309999999999999</v>
      </c>
      <c r="I43" s="13">
        <v>2.4400000000000002E-2</v>
      </c>
      <c r="J43" s="13">
        <v>0.10249999999999999</v>
      </c>
      <c r="K43" s="13">
        <f t="shared" si="1"/>
        <v>1</v>
      </c>
    </row>
    <row r="44" spans="1:11" x14ac:dyDescent="0.25">
      <c r="A44" s="14">
        <v>43525</v>
      </c>
      <c r="B44" s="13">
        <v>0.43030000000000002</v>
      </c>
      <c r="C44" s="13">
        <v>9.9699999999999997E-2</v>
      </c>
      <c r="D44" s="13">
        <v>0.47</v>
      </c>
      <c r="E44" s="13">
        <f t="shared" si="0"/>
        <v>1</v>
      </c>
      <c r="G44" s="15">
        <v>43525</v>
      </c>
      <c r="H44" s="13">
        <v>0.8468</v>
      </c>
      <c r="I44" s="13">
        <v>2.47E-2</v>
      </c>
      <c r="J44" s="13">
        <v>0.1285</v>
      </c>
      <c r="K44" s="13">
        <f t="shared" si="1"/>
        <v>1</v>
      </c>
    </row>
    <row r="45" spans="1:11" x14ac:dyDescent="0.25">
      <c r="A45" s="14">
        <v>43556</v>
      </c>
      <c r="B45" s="13">
        <v>0.44769999999999999</v>
      </c>
      <c r="C45" s="13">
        <v>0.13139999999999999</v>
      </c>
      <c r="D45" s="13">
        <v>0.4209</v>
      </c>
      <c r="E45" s="13">
        <f t="shared" si="0"/>
        <v>1</v>
      </c>
      <c r="G45" s="15">
        <v>43556</v>
      </c>
      <c r="H45" s="13">
        <v>0.872</v>
      </c>
      <c r="I45" s="13">
        <v>2.0500000000000001E-2</v>
      </c>
      <c r="J45" s="13">
        <v>0.1075</v>
      </c>
      <c r="K45" s="13">
        <f t="shared" si="1"/>
        <v>1</v>
      </c>
    </row>
    <row r="46" spans="1:11" x14ac:dyDescent="0.25">
      <c r="A46" s="14">
        <v>43586</v>
      </c>
      <c r="B46" s="13">
        <v>0.45429999999999998</v>
      </c>
      <c r="C46" s="13">
        <v>0.13220000000000001</v>
      </c>
      <c r="D46" s="13">
        <v>0.41349999999999998</v>
      </c>
      <c r="E46" s="13">
        <f t="shared" si="0"/>
        <v>1</v>
      </c>
      <c r="G46" s="15">
        <v>43586</v>
      </c>
      <c r="H46" s="13">
        <v>0.86270000000000002</v>
      </c>
      <c r="I46" s="13">
        <v>4.6100000000000002E-2</v>
      </c>
      <c r="J46" s="13">
        <v>9.1200000000000003E-2</v>
      </c>
      <c r="K46" s="13">
        <f t="shared" si="1"/>
        <v>1</v>
      </c>
    </row>
    <row r="47" spans="1:11" x14ac:dyDescent="0.25">
      <c r="A47" s="14">
        <v>43617</v>
      </c>
      <c r="B47" s="13">
        <v>0.41499999999999998</v>
      </c>
      <c r="C47" s="13">
        <v>0.1507</v>
      </c>
      <c r="D47" s="13">
        <v>0.43430000000000002</v>
      </c>
      <c r="E47" s="13">
        <f t="shared" si="0"/>
        <v>1</v>
      </c>
      <c r="G47" s="15">
        <v>43617</v>
      </c>
      <c r="H47" s="13">
        <v>0.76839999999999997</v>
      </c>
      <c r="I47" s="13">
        <v>5.0500000000000003E-2</v>
      </c>
      <c r="J47" s="13">
        <v>0.18110000000000001</v>
      </c>
      <c r="K47" s="13">
        <f t="shared" si="1"/>
        <v>1</v>
      </c>
    </row>
    <row r="48" spans="1:11" x14ac:dyDescent="0.25">
      <c r="A48" s="14">
        <v>43647</v>
      </c>
      <c r="B48" s="13">
        <v>0.45929999999999999</v>
      </c>
      <c r="C48" s="13">
        <v>0.16830000000000001</v>
      </c>
      <c r="D48" s="13">
        <v>0.37240000000000001</v>
      </c>
      <c r="E48" s="13">
        <f t="shared" si="0"/>
        <v>1</v>
      </c>
      <c r="G48" s="15">
        <v>43647</v>
      </c>
      <c r="H48" s="13">
        <v>0.81369999999999998</v>
      </c>
      <c r="I48" s="13">
        <v>5.74E-2</v>
      </c>
      <c r="J48" s="13">
        <v>0.12889999999999999</v>
      </c>
      <c r="K48" s="13">
        <f t="shared" si="1"/>
        <v>1</v>
      </c>
    </row>
    <row r="49" spans="1:11" x14ac:dyDescent="0.25">
      <c r="A49" s="14">
        <v>43678</v>
      </c>
      <c r="B49" s="13">
        <v>0.4592</v>
      </c>
      <c r="C49" s="13">
        <v>0.1598</v>
      </c>
      <c r="D49" s="13">
        <v>0.38100000000000001</v>
      </c>
      <c r="E49" s="13">
        <f t="shared" si="0"/>
        <v>1</v>
      </c>
      <c r="G49" s="15">
        <v>43678</v>
      </c>
      <c r="H49" s="13">
        <v>0.83540000000000003</v>
      </c>
      <c r="I49" s="13">
        <v>4.6100000000000002E-2</v>
      </c>
      <c r="J49" s="13">
        <v>0.11849999999999999</v>
      </c>
      <c r="K49" s="13">
        <f t="shared" si="1"/>
        <v>1</v>
      </c>
    </row>
    <row r="50" spans="1:11" x14ac:dyDescent="0.25">
      <c r="A50" s="14">
        <v>43709</v>
      </c>
      <c r="B50" s="13">
        <v>0.4733</v>
      </c>
      <c r="C50" s="13">
        <v>0.11799999999999999</v>
      </c>
      <c r="D50" s="13">
        <v>0.40870000000000001</v>
      </c>
      <c r="E50" s="13">
        <f t="shared" si="0"/>
        <v>1</v>
      </c>
      <c r="G50" s="15">
        <v>43709</v>
      </c>
      <c r="H50" s="13">
        <v>0.88349999999999995</v>
      </c>
      <c r="I50" s="13">
        <v>1.9E-2</v>
      </c>
      <c r="J50" s="13">
        <v>9.7500000000000003E-2</v>
      </c>
      <c r="K50" s="13">
        <f t="shared" si="1"/>
        <v>1</v>
      </c>
    </row>
    <row r="51" spans="1:11" x14ac:dyDescent="0.25">
      <c r="A51" s="14">
        <v>43739</v>
      </c>
      <c r="B51" s="13">
        <v>0.48520000000000002</v>
      </c>
      <c r="C51" s="13">
        <v>9.5200000000000007E-2</v>
      </c>
      <c r="D51" s="13">
        <v>0.41959999999999997</v>
      </c>
      <c r="E51" s="13">
        <f t="shared" si="0"/>
        <v>1</v>
      </c>
      <c r="G51" s="15">
        <v>43739</v>
      </c>
      <c r="H51" s="13">
        <v>0.9143</v>
      </c>
      <c r="I51" s="13">
        <v>1.49E-2</v>
      </c>
      <c r="J51" s="13">
        <v>7.0800000000000002E-2</v>
      </c>
      <c r="K51" s="13">
        <f t="shared" si="1"/>
        <v>1</v>
      </c>
    </row>
    <row r="52" spans="1:11" x14ac:dyDescent="0.25">
      <c r="A52" s="14">
        <v>43770</v>
      </c>
      <c r="B52" s="13">
        <v>0.44069999999999998</v>
      </c>
      <c r="C52" s="13">
        <v>7.1599999999999997E-2</v>
      </c>
      <c r="D52" s="13">
        <v>0.48770000000000002</v>
      </c>
      <c r="E52" s="13">
        <f t="shared" si="0"/>
        <v>1</v>
      </c>
      <c r="G52" s="15">
        <v>43770</v>
      </c>
      <c r="H52" s="13">
        <v>0.84850000000000003</v>
      </c>
      <c r="I52" s="13">
        <v>1.9199999999999998E-2</v>
      </c>
      <c r="J52" s="13">
        <v>0.1323</v>
      </c>
      <c r="K52" s="13">
        <f t="shared" si="1"/>
        <v>1</v>
      </c>
    </row>
    <row r="53" spans="1:11" x14ac:dyDescent="0.25">
      <c r="A53" s="14">
        <v>43800</v>
      </c>
      <c r="B53" s="13">
        <v>0.48110000000000003</v>
      </c>
      <c r="C53" s="13">
        <v>7.6300000000000007E-2</v>
      </c>
      <c r="D53" s="13">
        <v>0.44259999999999999</v>
      </c>
      <c r="E53" s="13">
        <f t="shared" si="0"/>
        <v>1</v>
      </c>
      <c r="G53" s="15">
        <v>43800</v>
      </c>
      <c r="H53" s="13">
        <v>0.88819999999999999</v>
      </c>
      <c r="I53" s="13">
        <v>2.2100000000000002E-2</v>
      </c>
      <c r="J53" s="13">
        <v>8.9700000000000002E-2</v>
      </c>
      <c r="K53" s="13">
        <f t="shared" si="1"/>
        <v>1</v>
      </c>
    </row>
    <row r="54" spans="1:11" x14ac:dyDescent="0.25">
      <c r="A54" s="14">
        <v>43831</v>
      </c>
      <c r="B54" s="13">
        <v>0.46782460379158103</v>
      </c>
      <c r="C54" s="13">
        <v>8.4741824304513866E-2</v>
      </c>
      <c r="D54" s="13">
        <v>0.44743357190390509</v>
      </c>
      <c r="E54" s="13">
        <f t="shared" si="0"/>
        <v>1</v>
      </c>
      <c r="G54" s="15">
        <v>43831</v>
      </c>
      <c r="H54" s="13">
        <v>0.88427424956375245</v>
      </c>
      <c r="I54" s="13">
        <v>2.7328493919180085E-2</v>
      </c>
      <c r="J54" s="13">
        <v>8.8397256517067424E-2</v>
      </c>
      <c r="K54" s="13">
        <f t="shared" si="1"/>
        <v>1</v>
      </c>
    </row>
    <row r="55" spans="1:11" x14ac:dyDescent="0.25">
      <c r="A55" s="14">
        <v>43862</v>
      </c>
      <c r="B55" s="13">
        <v>0.44230000000000003</v>
      </c>
      <c r="C55" s="13">
        <v>8.48E-2</v>
      </c>
      <c r="D55" s="13">
        <v>0.47289999999999999</v>
      </c>
      <c r="E55" s="13">
        <f t="shared" si="0"/>
        <v>1</v>
      </c>
      <c r="G55" s="15">
        <v>43862</v>
      </c>
      <c r="H55" s="13">
        <v>0.85409999999999997</v>
      </c>
      <c r="I55" s="13">
        <v>2.29E-2</v>
      </c>
      <c r="J55" s="13">
        <v>0.123</v>
      </c>
      <c r="K55" s="13">
        <f t="shared" si="1"/>
        <v>1</v>
      </c>
    </row>
    <row r="56" spans="1:11" x14ac:dyDescent="0.25">
      <c r="A56" s="14">
        <v>43891</v>
      </c>
      <c r="B56" s="13">
        <v>0.47649999999999998</v>
      </c>
      <c r="C56" s="13">
        <v>9.2100000000000001E-2</v>
      </c>
      <c r="D56" s="13">
        <v>0.43140000000000001</v>
      </c>
      <c r="E56" s="13">
        <f t="shared" si="0"/>
        <v>1</v>
      </c>
      <c r="G56" s="15">
        <v>43891</v>
      </c>
      <c r="H56" s="13">
        <v>0.88660000000000005</v>
      </c>
      <c r="I56" s="13">
        <v>1.78E-2</v>
      </c>
      <c r="J56" s="13">
        <v>9.5600000000000004E-2</v>
      </c>
      <c r="K56" s="13">
        <f t="shared" si="1"/>
        <v>1</v>
      </c>
    </row>
    <row r="57" spans="1:11" x14ac:dyDescent="0.25">
      <c r="A57" s="14">
        <v>43922</v>
      </c>
      <c r="B57" s="13">
        <v>0.46111717624563148</v>
      </c>
      <c r="C57" s="13">
        <v>9.580816661391077E-2</v>
      </c>
      <c r="D57" s="13">
        <v>0.44307465714045774</v>
      </c>
      <c r="E57" s="13">
        <f t="shared" si="0"/>
        <v>1</v>
      </c>
      <c r="G57" s="15">
        <v>43922</v>
      </c>
      <c r="H57" s="13">
        <v>0.83979011482825083</v>
      </c>
      <c r="I57" s="13">
        <v>3.7258661233746604E-2</v>
      </c>
      <c r="J57" s="13">
        <v>0.12295122393800256</v>
      </c>
      <c r="K57" s="13">
        <f t="shared" si="1"/>
        <v>1</v>
      </c>
    </row>
    <row r="58" spans="1:11" x14ac:dyDescent="0.25">
      <c r="A58" s="14">
        <v>43952</v>
      </c>
      <c r="B58" s="13">
        <v>0.45540000000000003</v>
      </c>
      <c r="C58" s="13">
        <v>0.1091</v>
      </c>
      <c r="D58" s="13">
        <v>0.4355</v>
      </c>
      <c r="E58" s="13">
        <f t="shared" si="0"/>
        <v>1</v>
      </c>
      <c r="G58" s="15">
        <v>43952</v>
      </c>
      <c r="H58" s="13">
        <v>0.81769999999999998</v>
      </c>
      <c r="I58" s="13">
        <v>3.6400000000000002E-2</v>
      </c>
      <c r="J58" s="13">
        <v>0.1459</v>
      </c>
      <c r="K58" s="13">
        <f t="shared" si="1"/>
        <v>1</v>
      </c>
    </row>
    <row r="59" spans="1:11" x14ac:dyDescent="0.25">
      <c r="A59" s="14">
        <v>43983</v>
      </c>
      <c r="B59" s="13">
        <v>0.48306121643489586</v>
      </c>
      <c r="C59" s="13">
        <v>0.16929179439276928</v>
      </c>
      <c r="D59" s="13">
        <v>0.34764698917233483</v>
      </c>
      <c r="E59" s="13">
        <f t="shared" si="0"/>
        <v>1</v>
      </c>
      <c r="G59" s="15">
        <v>43983</v>
      </c>
      <c r="H59" s="13">
        <v>0.84408095330997213</v>
      </c>
      <c r="I59" s="13">
        <v>5.5355374843655693E-2</v>
      </c>
      <c r="J59" s="13">
        <v>0.10056367184637219</v>
      </c>
      <c r="K59" s="13">
        <f t="shared" si="1"/>
        <v>1</v>
      </c>
    </row>
    <row r="60" spans="1:11" x14ac:dyDescent="0.25">
      <c r="A60" s="14">
        <v>44013</v>
      </c>
      <c r="B60" s="13">
        <v>0.49082483088537576</v>
      </c>
      <c r="C60" s="13">
        <v>0.17466908433887104</v>
      </c>
      <c r="D60" s="13">
        <v>0.33450608477575317</v>
      </c>
      <c r="E60" s="13">
        <f t="shared" si="0"/>
        <v>1</v>
      </c>
      <c r="G60" s="15">
        <v>44013</v>
      </c>
      <c r="H60" s="13">
        <v>0.84739036170424353</v>
      </c>
      <c r="I60" s="13">
        <v>5.5498419120369381E-2</v>
      </c>
      <c r="J60" s="13">
        <v>9.7111219175387078E-2</v>
      </c>
      <c r="K60" s="13">
        <f t="shared" si="1"/>
        <v>1</v>
      </c>
    </row>
    <row r="61" spans="1:11" x14ac:dyDescent="0.25">
      <c r="A61" s="14">
        <v>44044</v>
      </c>
      <c r="B61" s="13">
        <v>0.47524709910149332</v>
      </c>
      <c r="C61" s="13">
        <v>0.16669076754120271</v>
      </c>
      <c r="D61" s="13">
        <v>0.35806213335730391</v>
      </c>
      <c r="E61" s="13">
        <f t="shared" si="0"/>
        <v>1</v>
      </c>
      <c r="G61" s="15">
        <v>44044</v>
      </c>
      <c r="H61" s="13">
        <v>0.8437050674903972</v>
      </c>
      <c r="I61" s="13">
        <v>4.7973771573902611E-2</v>
      </c>
      <c r="J61" s="13">
        <v>0.10832116093570016</v>
      </c>
      <c r="K61" s="13">
        <f t="shared" si="1"/>
        <v>1</v>
      </c>
    </row>
    <row r="62" spans="1:11" x14ac:dyDescent="0.25">
      <c r="A62" s="14">
        <v>44075</v>
      </c>
      <c r="B62" s="13">
        <v>0.4783222634799435</v>
      </c>
      <c r="C62" s="13">
        <v>0.13215313006641913</v>
      </c>
      <c r="D62" s="13">
        <v>0.38952460645363735</v>
      </c>
      <c r="E62" s="13">
        <f t="shared" si="0"/>
        <v>1</v>
      </c>
      <c r="G62" s="15">
        <v>44075</v>
      </c>
      <c r="H62" s="13">
        <v>0.86579460527042995</v>
      </c>
      <c r="I62" s="13">
        <v>3.0923706923969705E-2</v>
      </c>
      <c r="J62" s="13">
        <v>0.10328168780560036</v>
      </c>
      <c r="K62" s="13">
        <f t="shared" si="1"/>
        <v>1</v>
      </c>
    </row>
    <row r="63" spans="1:11" x14ac:dyDescent="0.25">
      <c r="A63" s="14">
        <v>44105</v>
      </c>
      <c r="B63" s="13">
        <v>0.48966104347281775</v>
      </c>
      <c r="C63" s="13">
        <v>0.1062839973709743</v>
      </c>
      <c r="D63" s="13">
        <v>0.40405495915620793</v>
      </c>
      <c r="E63" s="13">
        <f t="shared" si="0"/>
        <v>1</v>
      </c>
      <c r="G63" s="15">
        <v>44105</v>
      </c>
      <c r="H63" s="13">
        <v>0.89199746821044446</v>
      </c>
      <c r="I63" s="13">
        <v>1.7631899392331282E-2</v>
      </c>
      <c r="J63" s="13">
        <v>9.0370632397224232E-2</v>
      </c>
      <c r="K63" s="13">
        <f t="shared" si="1"/>
        <v>0.99999999999999989</v>
      </c>
    </row>
    <row r="64" spans="1:11" x14ac:dyDescent="0.25">
      <c r="A64" s="14">
        <v>44136</v>
      </c>
      <c r="B64" s="13">
        <v>0.4760054455363123</v>
      </c>
      <c r="C64" s="13">
        <v>9.0505786842856831E-2</v>
      </c>
      <c r="D64" s="13">
        <v>0.43348876762083083</v>
      </c>
      <c r="E64" s="13">
        <f t="shared" si="0"/>
        <v>1</v>
      </c>
      <c r="G64" s="15">
        <v>44136</v>
      </c>
      <c r="H64" s="13">
        <v>0.89045210604692937</v>
      </c>
      <c r="I64" s="13">
        <v>1.3784651870539793E-2</v>
      </c>
      <c r="J64" s="13">
        <v>9.5763242082530842E-2</v>
      </c>
      <c r="K64" s="13">
        <f t="shared" si="1"/>
        <v>1</v>
      </c>
    </row>
    <row r="65" spans="1:11" x14ac:dyDescent="0.25">
      <c r="A65" s="14">
        <v>44166</v>
      </c>
      <c r="B65" s="13">
        <v>0.48963440092871008</v>
      </c>
      <c r="C65" s="13">
        <v>8.1056469687452379E-2</v>
      </c>
      <c r="D65" s="13">
        <v>0.42930912938383753</v>
      </c>
      <c r="E65" s="13">
        <f t="shared" si="0"/>
        <v>1</v>
      </c>
      <c r="G65" s="15">
        <v>44166</v>
      </c>
      <c r="H65" s="13">
        <v>0.90454333896141059</v>
      </c>
      <c r="I65" s="13">
        <v>2.4180524353483158E-2</v>
      </c>
      <c r="J65" s="13">
        <v>7.1276136685106239E-2</v>
      </c>
      <c r="K65" s="13">
        <f t="shared" si="1"/>
        <v>1</v>
      </c>
    </row>
    <row r="66" spans="1:11" x14ac:dyDescent="0.25">
      <c r="A66" s="14">
        <v>44197</v>
      </c>
      <c r="B66" s="13">
        <v>0.46000516818665976</v>
      </c>
      <c r="C66" s="13">
        <v>9.3464764942046974E-2</v>
      </c>
      <c r="D66" s="13">
        <v>0.44653006687129326</v>
      </c>
      <c r="E66" s="13">
        <f t="shared" si="0"/>
        <v>1</v>
      </c>
      <c r="G66" s="15">
        <v>44197</v>
      </c>
      <c r="H66" s="13">
        <v>0.8752013446965381</v>
      </c>
      <c r="I66" s="13">
        <v>2.7532323598845516E-2</v>
      </c>
      <c r="J66" s="13">
        <v>9.7266331704616432E-2</v>
      </c>
      <c r="K66" s="13">
        <f t="shared" si="1"/>
        <v>1</v>
      </c>
    </row>
    <row r="67" spans="1:11" x14ac:dyDescent="0.25">
      <c r="A67" s="14">
        <v>44228</v>
      </c>
      <c r="B67" s="13">
        <v>0.489663537379672</v>
      </c>
      <c r="C67" s="13">
        <v>9.1426127559927364E-2</v>
      </c>
      <c r="D67" s="13">
        <v>0.4189103350604006</v>
      </c>
      <c r="E67" s="13">
        <f t="shared" si="0"/>
        <v>1</v>
      </c>
      <c r="G67" s="15">
        <v>44228</v>
      </c>
      <c r="H67" s="13">
        <v>0.88930701529037226</v>
      </c>
      <c r="I67" s="13">
        <v>1.352388224724332E-3</v>
      </c>
      <c r="J67" s="13">
        <v>0.10934059648490337</v>
      </c>
      <c r="K67" s="13">
        <f t="shared" si="1"/>
        <v>0.99999999999999989</v>
      </c>
    </row>
    <row r="68" spans="1:11" x14ac:dyDescent="0.25">
      <c r="A68" s="14">
        <v>44256</v>
      </c>
      <c r="B68" s="13">
        <v>0.47417799357324664</v>
      </c>
      <c r="C68" s="13">
        <v>0.12532297583607538</v>
      </c>
      <c r="D68" s="13">
        <v>0.40049903059067798</v>
      </c>
      <c r="E68" s="13">
        <f t="shared" si="0"/>
        <v>1</v>
      </c>
      <c r="G68" s="15">
        <v>44256</v>
      </c>
      <c r="H68" s="13">
        <v>0.85220309006345896</v>
      </c>
      <c r="I68" s="13">
        <v>1.7421593589218798E-2</v>
      </c>
      <c r="J68" s="13">
        <v>0.1303753163473223</v>
      </c>
      <c r="K68" s="13">
        <f t="shared" si="1"/>
        <v>1</v>
      </c>
    </row>
    <row r="69" spans="1:11" x14ac:dyDescent="0.25">
      <c r="A69" s="14">
        <v>44287</v>
      </c>
      <c r="B69" s="13">
        <v>0.47032319784403182</v>
      </c>
      <c r="C69" s="13">
        <v>0.11698338151715208</v>
      </c>
      <c r="D69" s="13">
        <v>0.41269342063881609</v>
      </c>
      <c r="E69" s="13">
        <f t="shared" si="0"/>
        <v>1</v>
      </c>
      <c r="G69" s="15">
        <v>44287</v>
      </c>
      <c r="H69" s="13">
        <v>0.87209187425823742</v>
      </c>
      <c r="I69" s="13">
        <v>2.0947732882593398E-2</v>
      </c>
      <c r="J69" s="13">
        <v>0.10696039285916915</v>
      </c>
      <c r="K69" s="13">
        <f t="shared" si="1"/>
        <v>1</v>
      </c>
    </row>
    <row r="70" spans="1:11" x14ac:dyDescent="0.25">
      <c r="A70" s="14">
        <v>44317</v>
      </c>
      <c r="B70" s="13">
        <v>0.46048302497019927</v>
      </c>
      <c r="C70" s="13">
        <v>0.14520777301284193</v>
      </c>
      <c r="D70" s="13">
        <v>0.39430920201695879</v>
      </c>
      <c r="E70" s="13">
        <f t="shared" si="0"/>
        <v>1</v>
      </c>
      <c r="G70" s="15">
        <v>44317</v>
      </c>
      <c r="H70" s="13">
        <v>0.81756692335471148</v>
      </c>
      <c r="I70" s="13">
        <v>3.2264770433298062E-2</v>
      </c>
      <c r="J70" s="13">
        <v>0.15016830621199043</v>
      </c>
      <c r="K70" s="13">
        <f t="shared" si="1"/>
        <v>0.99999999999999989</v>
      </c>
    </row>
    <row r="71" spans="1:11" x14ac:dyDescent="0.25">
      <c r="A71" s="14">
        <v>44348</v>
      </c>
      <c r="B71" s="13">
        <v>0.47283837844679105</v>
      </c>
      <c r="C71" s="13">
        <v>0.19893026352715887</v>
      </c>
      <c r="D71" s="13">
        <v>0.32823135802605008</v>
      </c>
      <c r="E71" s="13">
        <f t="shared" si="0"/>
        <v>1</v>
      </c>
      <c r="G71" s="15">
        <v>44348</v>
      </c>
      <c r="H71" s="13">
        <v>0.82453294525697318</v>
      </c>
      <c r="I71" s="13">
        <v>4.4591531322450716E-2</v>
      </c>
      <c r="J71" s="13">
        <v>0.13087552342057612</v>
      </c>
      <c r="K71" s="13">
        <f t="shared" si="1"/>
        <v>1</v>
      </c>
    </row>
    <row r="72" spans="1:11" x14ac:dyDescent="0.25">
      <c r="A72" s="14">
        <v>44378</v>
      </c>
      <c r="B72" s="13">
        <v>0.50573359369017534</v>
      </c>
      <c r="C72" s="13">
        <v>0.21471098202662642</v>
      </c>
      <c r="D72" s="13">
        <v>0.27955542428319824</v>
      </c>
      <c r="E72" s="13">
        <f t="shared" si="0"/>
        <v>1</v>
      </c>
      <c r="G72" s="15">
        <v>44378</v>
      </c>
      <c r="H72" s="13">
        <v>0.83108188837381847</v>
      </c>
      <c r="I72" s="13">
        <v>4.4983143338585489E-2</v>
      </c>
      <c r="J72" s="13">
        <v>0.123934968287596</v>
      </c>
      <c r="K72" s="13">
        <f t="shared" si="1"/>
        <v>0.99999999999999989</v>
      </c>
    </row>
    <row r="73" spans="1:11" x14ac:dyDescent="0.25">
      <c r="A73" s="14">
        <v>44409</v>
      </c>
      <c r="B73" s="13">
        <v>0.53527392699809495</v>
      </c>
      <c r="C73" s="13">
        <v>0.16308704951313038</v>
      </c>
      <c r="D73" s="13">
        <v>0.30163902348877469</v>
      </c>
      <c r="E73" s="13">
        <f t="shared" si="0"/>
        <v>1</v>
      </c>
      <c r="G73" s="15">
        <v>44409</v>
      </c>
      <c r="H73" s="13">
        <v>0.8914203875314175</v>
      </c>
      <c r="I73" s="13">
        <v>3.1150140067441281E-2</v>
      </c>
      <c r="J73" s="13">
        <v>7.7429472401141244E-2</v>
      </c>
      <c r="K73" s="13">
        <f t="shared" si="1"/>
        <v>1</v>
      </c>
    </row>
    <row r="74" spans="1:11" x14ac:dyDescent="0.25">
      <c r="A74" s="14">
        <v>44440</v>
      </c>
      <c r="B74" s="13">
        <v>0.5105062838638228</v>
      </c>
      <c r="C74" s="13">
        <v>0.13526884282980647</v>
      </c>
      <c r="D74" s="13">
        <v>0.35422487330637076</v>
      </c>
      <c r="E74" s="13">
        <f t="shared" si="0"/>
        <v>1</v>
      </c>
      <c r="G74" s="15">
        <v>44440</v>
      </c>
      <c r="H74" s="13">
        <v>0.89790577053575293</v>
      </c>
      <c r="I74" s="13">
        <v>3.2590706689359344E-2</v>
      </c>
      <c r="J74" s="13">
        <v>6.9503522774887722E-2</v>
      </c>
      <c r="K74" s="13">
        <f t="shared" si="1"/>
        <v>1</v>
      </c>
    </row>
    <row r="75" spans="1:11" x14ac:dyDescent="0.25">
      <c r="A75" s="14">
        <v>44470</v>
      </c>
      <c r="B75" s="13">
        <v>0.51522031662976409</v>
      </c>
      <c r="C75" s="13">
        <v>0.11697100151720663</v>
      </c>
      <c r="D75" s="13">
        <v>0.36780868185302934</v>
      </c>
      <c r="E75" s="13">
        <f t="shared" si="0"/>
        <v>1</v>
      </c>
      <c r="G75" s="15">
        <v>44470</v>
      </c>
      <c r="H75" s="13">
        <v>0.89890178645742125</v>
      </c>
      <c r="I75" s="13">
        <v>2.0745185118862995E-2</v>
      </c>
      <c r="J75" s="13">
        <v>8.0353028423715736E-2</v>
      </c>
      <c r="K75" s="13">
        <f t="shared" si="1"/>
        <v>1</v>
      </c>
    </row>
    <row r="76" spans="1:11" x14ac:dyDescent="0.25">
      <c r="A76" s="14">
        <v>44501</v>
      </c>
      <c r="B76" s="13">
        <v>0.53857233577813912</v>
      </c>
      <c r="C76" s="13">
        <v>0.11612943746205434</v>
      </c>
      <c r="D76" s="13">
        <v>0.34529822675980654</v>
      </c>
      <c r="E76" s="13">
        <f t="shared" si="0"/>
        <v>1</v>
      </c>
      <c r="G76" s="15">
        <v>44501</v>
      </c>
      <c r="H76" s="13">
        <v>0.9334005194501277</v>
      </c>
      <c r="I76" s="13">
        <v>7.1011768915010785E-3</v>
      </c>
      <c r="J76" s="13">
        <v>5.9498303658371256E-2</v>
      </c>
      <c r="K76" s="13">
        <f t="shared" si="1"/>
        <v>1</v>
      </c>
    </row>
    <row r="77" spans="1:11" x14ac:dyDescent="0.25">
      <c r="A77" s="14">
        <v>44531</v>
      </c>
      <c r="B77" s="13">
        <v>0.5423011693296439</v>
      </c>
      <c r="C77" s="13">
        <v>8.3923948942247611E-2</v>
      </c>
      <c r="D77" s="13">
        <v>0.37377488172810852</v>
      </c>
      <c r="E77" s="13">
        <f t="shared" si="0"/>
        <v>1</v>
      </c>
      <c r="G77" s="15">
        <v>44531</v>
      </c>
      <c r="H77" s="13">
        <v>0.91022942541319585</v>
      </c>
      <c r="I77" s="13">
        <v>2.5930879894474641E-2</v>
      </c>
      <c r="J77" s="13">
        <v>6.3839694692329557E-2</v>
      </c>
      <c r="K77" s="13">
        <f t="shared" si="1"/>
        <v>1</v>
      </c>
    </row>
    <row r="78" spans="1:11" x14ac:dyDescent="0.25">
      <c r="A78" s="14">
        <v>44562</v>
      </c>
      <c r="B78" s="13">
        <v>0.50980852255695697</v>
      </c>
      <c r="C78" s="13">
        <v>8.5102140744126614E-2</v>
      </c>
      <c r="D78" s="13">
        <v>0.40508933669891639</v>
      </c>
      <c r="E78" s="13">
        <f t="shared" si="0"/>
        <v>1</v>
      </c>
      <c r="G78" s="15">
        <v>44562</v>
      </c>
      <c r="H78" s="13">
        <v>0.92201562836568685</v>
      </c>
      <c r="I78" s="13">
        <v>1.9491600774755181E-2</v>
      </c>
      <c r="J78" s="13">
        <v>5.8492770859557931E-2</v>
      </c>
      <c r="K78" s="13">
        <f t="shared" si="1"/>
        <v>1</v>
      </c>
    </row>
    <row r="79" spans="1:11" x14ac:dyDescent="0.25">
      <c r="A79" s="14">
        <v>44593</v>
      </c>
      <c r="B79" s="13">
        <v>0.51872019435529826</v>
      </c>
      <c r="C79" s="13">
        <v>0.11928706397528568</v>
      </c>
      <c r="D79" s="13">
        <v>0.36199274166941603</v>
      </c>
      <c r="E79" s="13">
        <f t="shared" si="0"/>
        <v>1</v>
      </c>
      <c r="G79" s="15">
        <v>44593</v>
      </c>
      <c r="H79" s="13">
        <v>0.91997278574469277</v>
      </c>
      <c r="I79" s="13">
        <v>1.1501910445317527E-2</v>
      </c>
      <c r="J79" s="13">
        <v>6.8525303809989696E-2</v>
      </c>
      <c r="K79" s="13">
        <f t="shared" si="1"/>
        <v>1</v>
      </c>
    </row>
    <row r="80" spans="1:11" x14ac:dyDescent="0.25">
      <c r="A80" s="14">
        <v>44621</v>
      </c>
      <c r="B80" s="13">
        <v>0.5131</v>
      </c>
      <c r="C80" s="13">
        <v>0.13039999999999999</v>
      </c>
      <c r="D80" s="13">
        <v>0.35649999999999998</v>
      </c>
      <c r="E80" s="13">
        <f t="shared" si="0"/>
        <v>1</v>
      </c>
      <c r="G80" s="15">
        <v>44621</v>
      </c>
      <c r="H80" s="13">
        <v>0.92610000000000003</v>
      </c>
      <c r="I80" s="13">
        <v>1.49E-2</v>
      </c>
      <c r="J80" s="13">
        <v>5.8999999999999997E-2</v>
      </c>
      <c r="K80" s="13">
        <f t="shared" si="1"/>
        <v>1</v>
      </c>
    </row>
    <row r="81" spans="1:11" x14ac:dyDescent="0.25">
      <c r="A81" s="14">
        <v>44652</v>
      </c>
      <c r="B81" s="13">
        <v>0.48739793090310651</v>
      </c>
      <c r="C81" s="13">
        <v>0.13298738575637481</v>
      </c>
      <c r="D81" s="13">
        <v>0.37961468334051868</v>
      </c>
      <c r="E81" s="13">
        <f t="shared" si="0"/>
        <v>1</v>
      </c>
      <c r="G81" s="15">
        <v>44652</v>
      </c>
      <c r="H81" s="13">
        <v>0.90739744488802199</v>
      </c>
      <c r="I81" s="13">
        <v>2.5388001511543575E-2</v>
      </c>
      <c r="J81" s="13">
        <v>6.7214553600434407E-2</v>
      </c>
      <c r="K81" s="13">
        <f t="shared" si="1"/>
        <v>0.99999999999999989</v>
      </c>
    </row>
    <row r="82" spans="1:11" x14ac:dyDescent="0.25">
      <c r="A82" s="14">
        <v>44682</v>
      </c>
      <c r="B82" s="13">
        <v>0.53566816964267061</v>
      </c>
      <c r="C82" s="13">
        <v>0.14595303861631487</v>
      </c>
      <c r="D82" s="13">
        <v>0.31837879174101452</v>
      </c>
      <c r="E82" s="13">
        <f t="shared" si="0"/>
        <v>1</v>
      </c>
      <c r="G82" s="15">
        <v>44682</v>
      </c>
      <c r="H82" s="13">
        <v>0.91682180594541129</v>
      </c>
      <c r="I82" s="13">
        <v>2.4701741828381755E-2</v>
      </c>
      <c r="J82" s="13">
        <v>5.8476452226206975E-2</v>
      </c>
      <c r="K82" s="13">
        <f t="shared" si="1"/>
        <v>1</v>
      </c>
    </row>
    <row r="83" spans="1:11" x14ac:dyDescent="0.25">
      <c r="A83" s="14">
        <v>44713</v>
      </c>
      <c r="B83" s="13">
        <v>0.52400000000000002</v>
      </c>
      <c r="C83" s="13">
        <v>0.18160000000000001</v>
      </c>
      <c r="D83" s="13">
        <v>0.2944</v>
      </c>
      <c r="E83" s="13">
        <f t="shared" si="0"/>
        <v>1</v>
      </c>
      <c r="G83" s="15">
        <v>44713</v>
      </c>
      <c r="H83" s="13">
        <v>0.88219999999999998</v>
      </c>
      <c r="I83" s="13">
        <v>4.7699999999999999E-2</v>
      </c>
      <c r="J83" s="13">
        <v>7.0099999999999996E-2</v>
      </c>
      <c r="K83" s="13">
        <f t="shared" si="1"/>
        <v>1</v>
      </c>
    </row>
    <row r="84" spans="1:11" x14ac:dyDescent="0.25">
      <c r="A84" s="14">
        <v>44743</v>
      </c>
      <c r="B84" s="13">
        <v>0.47639829350388552</v>
      </c>
      <c r="C84" s="13">
        <v>0.17040150431885578</v>
      </c>
      <c r="D84" s="13">
        <v>0.35320020217725867</v>
      </c>
      <c r="E84" s="13">
        <f t="shared" si="0"/>
        <v>1</v>
      </c>
      <c r="G84" s="15">
        <v>44743</v>
      </c>
      <c r="H84" s="13">
        <v>0.81953017457460298</v>
      </c>
      <c r="I84" s="13">
        <v>4.6930259727963324E-2</v>
      </c>
      <c r="J84" s="13">
        <v>0.13353956569743372</v>
      </c>
      <c r="K84" s="13">
        <f t="shared" si="1"/>
        <v>1</v>
      </c>
    </row>
    <row r="85" spans="1:11" x14ac:dyDescent="0.25">
      <c r="A85" s="14">
        <v>44774</v>
      </c>
      <c r="B85" s="13">
        <v>0.53905130704370907</v>
      </c>
      <c r="C85" s="13">
        <v>0.17882894520515771</v>
      </c>
      <c r="D85" s="13">
        <v>0.28211974775113324</v>
      </c>
      <c r="E85" s="13">
        <f t="shared" ref="E85" si="2">SUM(B85:D85)</f>
        <v>1</v>
      </c>
      <c r="G85" s="15">
        <v>44774</v>
      </c>
      <c r="H85" s="13">
        <v>0.92095044245478308</v>
      </c>
      <c r="I85" s="13">
        <v>6.2142219756418701E-3</v>
      </c>
      <c r="J85" s="13">
        <v>7.2835335569575083E-2</v>
      </c>
      <c r="K85" s="13">
        <f t="shared" ref="K85" si="3">SUM(H85:J85)</f>
        <v>1</v>
      </c>
    </row>
    <row r="86" spans="1:11" x14ac:dyDescent="0.25">
      <c r="A86" s="14">
        <v>44805</v>
      </c>
      <c r="B86" s="13">
        <v>0.51454003999999998</v>
      </c>
      <c r="C86" s="13">
        <v>0.14160133999999999</v>
      </c>
      <c r="D86" s="13">
        <v>0.34385862</v>
      </c>
      <c r="E86" s="13">
        <f t="shared" si="0"/>
        <v>1</v>
      </c>
      <c r="G86" s="15">
        <v>44805</v>
      </c>
      <c r="H86" s="13">
        <v>0.89180519000000003</v>
      </c>
      <c r="I86" s="13">
        <v>3.7981059999999997E-2</v>
      </c>
      <c r="J86" s="13">
        <v>7.0213750000000005E-2</v>
      </c>
      <c r="K86" s="13">
        <f t="shared" si="1"/>
        <v>1</v>
      </c>
    </row>
    <row r="87" spans="1:11" x14ac:dyDescent="0.25">
      <c r="A87" s="14">
        <v>44835</v>
      </c>
      <c r="B87" s="13">
        <v>0.48110000000000003</v>
      </c>
      <c r="C87" s="13">
        <v>0.1229</v>
      </c>
      <c r="D87" s="13">
        <v>0.39600000000000002</v>
      </c>
      <c r="E87" s="13">
        <f t="shared" ref="E87" si="4">SUM(B87:D87)</f>
        <v>1</v>
      </c>
      <c r="G87" s="15">
        <v>44835</v>
      </c>
      <c r="H87" s="13">
        <f>86.62%+0.01%</f>
        <v>0.86630000000000007</v>
      </c>
      <c r="I87" s="13">
        <v>3.1199999999999999E-2</v>
      </c>
      <c r="J87" s="13">
        <v>0.10249999999999999</v>
      </c>
      <c r="K87" s="13">
        <f t="shared" ref="K87" si="5">SUM(H87:J87)</f>
        <v>1</v>
      </c>
    </row>
    <row r="88" spans="1:11" x14ac:dyDescent="0.25">
      <c r="A88" s="14">
        <v>44866</v>
      </c>
      <c r="B88" s="13">
        <v>0.47889999999999999</v>
      </c>
      <c r="C88" s="13">
        <v>0.1</v>
      </c>
      <c r="D88" s="13">
        <v>0.42109999999999997</v>
      </c>
      <c r="E88" s="13">
        <f t="shared" si="0"/>
        <v>1</v>
      </c>
      <c r="G88" s="15">
        <v>44866</v>
      </c>
      <c r="H88" s="13">
        <v>0.88890000000000002</v>
      </c>
      <c r="I88" s="13">
        <v>5.4000000000000003E-3</v>
      </c>
      <c r="J88" s="13">
        <v>0.1057</v>
      </c>
      <c r="K88" s="13">
        <f t="shared" si="1"/>
        <v>1</v>
      </c>
    </row>
    <row r="89" spans="1:11" x14ac:dyDescent="0.25">
      <c r="A89" s="14">
        <v>44896</v>
      </c>
      <c r="B89" s="13">
        <f>48.66%-0.01%</f>
        <v>0.48649999999999999</v>
      </c>
      <c r="C89" s="13">
        <v>7.3599999999999999E-2</v>
      </c>
      <c r="D89" s="13">
        <v>0.43990000000000001</v>
      </c>
      <c r="E89" s="13">
        <f t="shared" si="0"/>
        <v>1</v>
      </c>
      <c r="G89" s="15">
        <v>44896</v>
      </c>
      <c r="H89" s="13">
        <f>86.84%+0.01%</f>
        <v>0.86850000000000005</v>
      </c>
      <c r="I89" s="13">
        <v>1.4200000000000001E-2</v>
      </c>
      <c r="J89" s="13">
        <v>0.1173</v>
      </c>
      <c r="K89" s="13">
        <f t="shared" si="1"/>
        <v>1</v>
      </c>
    </row>
    <row r="90" spans="1:11" x14ac:dyDescent="0.25">
      <c r="A90" s="14">
        <v>44927</v>
      </c>
      <c r="B90" s="13">
        <v>0.48780000000000001</v>
      </c>
      <c r="C90" s="13">
        <v>9.7299999999999998E-2</v>
      </c>
      <c r="D90" s="13">
        <v>0.41489999999999999</v>
      </c>
      <c r="E90" s="13">
        <f t="shared" si="0"/>
        <v>1</v>
      </c>
      <c r="G90" s="15">
        <v>44927</v>
      </c>
      <c r="H90" s="13">
        <v>0.90410000000000001</v>
      </c>
      <c r="I90" s="13">
        <v>7.1999999999999998E-3</v>
      </c>
      <c r="J90" s="13">
        <v>8.8700000000000001E-2</v>
      </c>
      <c r="K90" s="13">
        <f t="shared" si="1"/>
        <v>1</v>
      </c>
    </row>
    <row r="91" spans="1:11" x14ac:dyDescent="0.25">
      <c r="A91" s="14">
        <v>44958</v>
      </c>
      <c r="B91" s="13">
        <f>52.82%-0.01%</f>
        <v>0.52810000000000001</v>
      </c>
      <c r="C91" s="13">
        <v>9.1600000000000001E-2</v>
      </c>
      <c r="D91" s="13">
        <v>0.38030000000000003</v>
      </c>
      <c r="E91" s="13">
        <f t="shared" si="0"/>
        <v>1</v>
      </c>
      <c r="G91" s="15">
        <v>44958</v>
      </c>
      <c r="H91" s="13">
        <v>0.92469999999999997</v>
      </c>
      <c r="I91" s="13">
        <v>1.11E-2</v>
      </c>
      <c r="J91" s="13">
        <v>6.4199999999999993E-2</v>
      </c>
      <c r="K91" s="13">
        <f t="shared" si="1"/>
        <v>1</v>
      </c>
    </row>
    <row r="92" spans="1:11" x14ac:dyDescent="0.25">
      <c r="A92" s="14">
        <v>44986</v>
      </c>
      <c r="B92" s="13">
        <v>0.53800000000000003</v>
      </c>
      <c r="C92" s="13">
        <v>0.1115</v>
      </c>
      <c r="D92" s="13">
        <v>0.35049999999999998</v>
      </c>
      <c r="E92" s="13">
        <f t="shared" si="0"/>
        <v>1</v>
      </c>
      <c r="G92" s="15">
        <v>44986</v>
      </c>
      <c r="H92" s="13">
        <v>0.92030000000000001</v>
      </c>
      <c r="I92" s="13">
        <v>2.18E-2</v>
      </c>
      <c r="J92" s="13">
        <v>5.79E-2</v>
      </c>
      <c r="K92" s="13">
        <f t="shared" si="1"/>
        <v>1</v>
      </c>
    </row>
    <row r="93" spans="1:11" x14ac:dyDescent="0.25">
      <c r="A93" s="14">
        <v>45017</v>
      </c>
      <c r="B93" s="13">
        <v>0.50600000000000001</v>
      </c>
      <c r="C93" s="13">
        <v>0.1227</v>
      </c>
      <c r="D93" s="13">
        <v>0.37130000000000002</v>
      </c>
      <c r="E93" s="13">
        <f t="shared" si="0"/>
        <v>1</v>
      </c>
      <c r="G93" s="15">
        <v>45017</v>
      </c>
      <c r="H93" s="13">
        <v>0.90090000000000003</v>
      </c>
      <c r="I93" s="13">
        <v>2.07E-2</v>
      </c>
      <c r="J93" s="13">
        <v>7.8399999999999997E-2</v>
      </c>
      <c r="K93" s="13">
        <f t="shared" si="1"/>
        <v>1</v>
      </c>
    </row>
    <row r="94" spans="1:11" x14ac:dyDescent="0.25">
      <c r="A94" s="14">
        <v>45047</v>
      </c>
      <c r="B94" s="13">
        <v>0.53259999999999996</v>
      </c>
      <c r="C94" s="13">
        <v>0.15429999999999999</v>
      </c>
      <c r="D94" s="13">
        <v>0.31309999999999999</v>
      </c>
      <c r="E94" s="13">
        <f t="shared" ref="E94" si="6">SUM(B94:D94)</f>
        <v>1</v>
      </c>
      <c r="G94" s="15">
        <v>45047</v>
      </c>
      <c r="H94" s="13">
        <v>0.91520000000000001</v>
      </c>
      <c r="I94" s="13">
        <v>1.09E-2</v>
      </c>
      <c r="J94" s="13">
        <v>7.3899999999999993E-2</v>
      </c>
      <c r="K94" s="13">
        <f t="shared" ref="K94:K95" si="7">SUM(H94:J94)</f>
        <v>1</v>
      </c>
    </row>
    <row r="95" spans="1:11" x14ac:dyDescent="0.25">
      <c r="A95" s="14">
        <v>45078</v>
      </c>
      <c r="B95" s="13">
        <v>0.58409999999999995</v>
      </c>
      <c r="C95" s="13">
        <v>0.1671</v>
      </c>
      <c r="D95" s="13">
        <v>0.24879999999999999</v>
      </c>
      <c r="E95" s="13">
        <f t="shared" ref="E95" si="8">SUM(B95:D95)</f>
        <v>1</v>
      </c>
      <c r="G95" s="15">
        <v>45078</v>
      </c>
      <c r="H95" s="13">
        <v>0.92320000000000002</v>
      </c>
      <c r="I95" s="13">
        <v>2.07E-2</v>
      </c>
      <c r="J95" s="13">
        <v>5.6099999999999997E-2</v>
      </c>
      <c r="K95" s="13">
        <f t="shared" si="7"/>
        <v>1</v>
      </c>
    </row>
    <row r="96" spans="1:11" x14ac:dyDescent="0.25">
      <c r="A96" s="14">
        <v>45108</v>
      </c>
      <c r="B96" s="13">
        <v>0.54820000000000002</v>
      </c>
      <c r="C96" s="13">
        <v>0.19719999999999999</v>
      </c>
      <c r="D96" s="13">
        <v>0.25459999999999999</v>
      </c>
      <c r="E96" s="13">
        <f t="shared" ref="E96:E122" si="9">SUM(B96:D96)</f>
        <v>1</v>
      </c>
      <c r="G96" s="15">
        <v>45108</v>
      </c>
      <c r="H96" s="13">
        <v>0.90710000000000002</v>
      </c>
      <c r="I96" s="13">
        <v>3.9800000000000002E-2</v>
      </c>
      <c r="J96" s="13">
        <v>5.3100000000000001E-2</v>
      </c>
      <c r="K96" s="13">
        <f t="shared" ref="K96:K122" si="10">SUM(H96:J96)</f>
        <v>1</v>
      </c>
    </row>
    <row r="97" spans="1:11" x14ac:dyDescent="0.25">
      <c r="A97" s="14">
        <v>45139</v>
      </c>
      <c r="B97" s="13">
        <v>0.57669999999999999</v>
      </c>
      <c r="C97" s="13">
        <v>0.17349999999999999</v>
      </c>
      <c r="D97" s="13">
        <v>0.24979999999999999</v>
      </c>
      <c r="E97" s="13">
        <f t="shared" si="9"/>
        <v>1</v>
      </c>
      <c r="G97" s="15">
        <v>45139</v>
      </c>
      <c r="H97" s="13">
        <v>0.90329999999999999</v>
      </c>
      <c r="I97" s="13">
        <v>3.0599999999999999E-2</v>
      </c>
      <c r="J97" s="13">
        <v>6.6100000000000006E-2</v>
      </c>
      <c r="K97" s="13">
        <f t="shared" si="10"/>
        <v>1</v>
      </c>
    </row>
    <row r="98" spans="1:11" x14ac:dyDescent="0.25">
      <c r="A98" s="14">
        <v>45170</v>
      </c>
      <c r="B98" s="13">
        <v>0.58409999999999995</v>
      </c>
      <c r="C98" s="13">
        <v>0.1444</v>
      </c>
      <c r="D98" s="13">
        <v>0.27150000000000002</v>
      </c>
      <c r="E98" s="13">
        <f t="shared" si="9"/>
        <v>1</v>
      </c>
      <c r="G98" s="15">
        <v>45170</v>
      </c>
      <c r="H98" s="13">
        <v>0.91930000000000001</v>
      </c>
      <c r="I98" s="13">
        <v>1.8200000000000001E-2</v>
      </c>
      <c r="J98" s="13">
        <v>6.25E-2</v>
      </c>
      <c r="K98" s="13">
        <f t="shared" si="10"/>
        <v>1</v>
      </c>
    </row>
    <row r="99" spans="1:11" x14ac:dyDescent="0.25">
      <c r="A99" s="14">
        <v>45200</v>
      </c>
      <c r="B99" s="13">
        <v>0.5786</v>
      </c>
      <c r="C99" s="13">
        <v>0.1389</v>
      </c>
      <c r="D99" s="13">
        <v>0.28249999999999997</v>
      </c>
      <c r="E99" s="13">
        <f t="shared" si="9"/>
        <v>1</v>
      </c>
      <c r="G99" s="15">
        <v>45200</v>
      </c>
      <c r="H99" s="13">
        <v>0.92349999999999999</v>
      </c>
      <c r="I99" s="13">
        <v>6.4999999999999997E-3</v>
      </c>
      <c r="J99" s="13">
        <v>7.0000000000000007E-2</v>
      </c>
      <c r="K99" s="13">
        <f t="shared" si="10"/>
        <v>1</v>
      </c>
    </row>
    <row r="100" spans="1:11" x14ac:dyDescent="0.25">
      <c r="A100" s="14">
        <v>45231</v>
      </c>
      <c r="B100" s="13">
        <v>0.55689999999999995</v>
      </c>
      <c r="C100" s="13">
        <v>0.10150000000000001</v>
      </c>
      <c r="D100" s="13">
        <v>0.34160000000000001</v>
      </c>
      <c r="E100" s="13">
        <f t="shared" si="9"/>
        <v>1</v>
      </c>
      <c r="G100" s="15">
        <v>45231</v>
      </c>
      <c r="H100" s="13">
        <v>0.92269999999999996</v>
      </c>
      <c r="I100" s="13">
        <v>6.4999999999999997E-3</v>
      </c>
      <c r="J100" s="13">
        <v>7.0800000000000002E-2</v>
      </c>
      <c r="K100" s="13">
        <f t="shared" si="10"/>
        <v>0.99999999999999989</v>
      </c>
    </row>
    <row r="101" spans="1:11" x14ac:dyDescent="0.25">
      <c r="A101" s="14">
        <v>45261</v>
      </c>
      <c r="B101" s="13">
        <v>0.53979999999999995</v>
      </c>
      <c r="C101" s="13">
        <v>8.77E-2</v>
      </c>
      <c r="D101" s="13">
        <v>0.3725</v>
      </c>
      <c r="E101" s="13">
        <f t="shared" si="9"/>
        <v>1</v>
      </c>
      <c r="G101" s="15">
        <v>45261</v>
      </c>
      <c r="H101" s="13">
        <v>0.90529999999999999</v>
      </c>
      <c r="I101" s="13">
        <v>8.9999999999999998E-4</v>
      </c>
      <c r="J101" s="13">
        <v>9.3799999999999994E-2</v>
      </c>
      <c r="K101" s="13">
        <f t="shared" si="10"/>
        <v>1</v>
      </c>
    </row>
    <row r="102" spans="1:11" x14ac:dyDescent="0.25">
      <c r="A102" s="14">
        <v>45292</v>
      </c>
      <c r="B102" s="13">
        <v>0.54200000000000004</v>
      </c>
      <c r="C102" s="13">
        <v>0.1096</v>
      </c>
      <c r="D102" s="13">
        <v>0.34839999999999999</v>
      </c>
      <c r="E102" s="13">
        <f t="shared" si="9"/>
        <v>1</v>
      </c>
      <c r="G102" s="15">
        <v>45292</v>
      </c>
      <c r="H102" s="13">
        <v>0.91879999999999995</v>
      </c>
      <c r="I102" s="13">
        <v>0</v>
      </c>
      <c r="J102" s="13">
        <v>8.1199999999999994E-2</v>
      </c>
      <c r="K102" s="13">
        <f t="shared" si="10"/>
        <v>1</v>
      </c>
    </row>
    <row r="103" spans="1:11" x14ac:dyDescent="0.25">
      <c r="A103" s="14">
        <v>45323</v>
      </c>
      <c r="B103" s="13">
        <f>55.95%-0.01%</f>
        <v>0.55940000000000001</v>
      </c>
      <c r="C103" s="13">
        <v>0.10290000000000001</v>
      </c>
      <c r="D103" s="13">
        <v>0.3377</v>
      </c>
      <c r="E103" s="13">
        <f t="shared" si="9"/>
        <v>1</v>
      </c>
      <c r="G103" s="15">
        <v>45323</v>
      </c>
      <c r="H103" s="13">
        <v>0.93300000000000005</v>
      </c>
      <c r="I103" s="13">
        <v>0</v>
      </c>
      <c r="J103" s="13">
        <v>6.7000000000000004E-2</v>
      </c>
      <c r="K103" s="13">
        <f t="shared" si="10"/>
        <v>1</v>
      </c>
    </row>
    <row r="104" spans="1:11" x14ac:dyDescent="0.25">
      <c r="A104" s="14">
        <v>45352</v>
      </c>
      <c r="B104" s="13">
        <v>0.51719999999999999</v>
      </c>
      <c r="C104" s="13">
        <v>0.1179</v>
      </c>
      <c r="D104" s="13">
        <v>0.3649</v>
      </c>
      <c r="E104" s="13">
        <f t="shared" si="9"/>
        <v>1</v>
      </c>
      <c r="G104" s="15">
        <v>45352</v>
      </c>
      <c r="H104" s="13">
        <v>0.85909999999999997</v>
      </c>
      <c r="I104" s="13">
        <v>1.09E-2</v>
      </c>
      <c r="J104" s="13">
        <v>0.13</v>
      </c>
      <c r="K104" s="13">
        <f t="shared" si="10"/>
        <v>1</v>
      </c>
    </row>
    <row r="105" spans="1:11" x14ac:dyDescent="0.25">
      <c r="A105" s="14">
        <v>45383</v>
      </c>
      <c r="B105" s="13">
        <f>53.32%+0.01%</f>
        <v>0.5333</v>
      </c>
      <c r="C105" s="13">
        <v>0.153</v>
      </c>
      <c r="D105" s="13">
        <v>0.31369999999999998</v>
      </c>
      <c r="E105" s="13">
        <f t="shared" si="9"/>
        <v>1</v>
      </c>
      <c r="G105" s="15">
        <v>45383</v>
      </c>
      <c r="H105" s="13">
        <v>0.90659999999999996</v>
      </c>
      <c r="I105" s="13">
        <v>1.1999999999999999E-3</v>
      </c>
      <c r="J105" s="13">
        <v>9.2200000000000004E-2</v>
      </c>
      <c r="K105" s="13">
        <f t="shared" si="10"/>
        <v>1</v>
      </c>
    </row>
    <row r="106" spans="1:11" x14ac:dyDescent="0.25">
      <c r="A106" s="14">
        <v>45413</v>
      </c>
      <c r="B106" s="13">
        <v>0.52229999999999999</v>
      </c>
      <c r="C106" s="13">
        <v>0.14149999999999999</v>
      </c>
      <c r="D106" s="13">
        <v>0.3362</v>
      </c>
      <c r="E106" s="13">
        <f t="shared" si="9"/>
        <v>1</v>
      </c>
      <c r="G106" s="15">
        <v>45413</v>
      </c>
      <c r="H106" s="13">
        <f>89.76%+0.01%</f>
        <v>0.89770000000000005</v>
      </c>
      <c r="I106" s="13">
        <v>3.0200000000000001E-2</v>
      </c>
      <c r="J106" s="13">
        <v>7.2099999999999997E-2</v>
      </c>
      <c r="K106" s="13">
        <f t="shared" si="10"/>
        <v>1</v>
      </c>
    </row>
    <row r="107" spans="1:11" x14ac:dyDescent="0.25">
      <c r="A107" s="14">
        <v>45444</v>
      </c>
      <c r="B107" s="13">
        <v>0.49209999999999998</v>
      </c>
      <c r="C107" s="13">
        <v>0.21970000000000001</v>
      </c>
      <c r="D107" s="13">
        <v>0.28820000000000001</v>
      </c>
      <c r="E107" s="13">
        <f t="shared" si="9"/>
        <v>1</v>
      </c>
      <c r="G107" s="15">
        <v>45444</v>
      </c>
      <c r="H107" s="13">
        <v>0.85309999999999997</v>
      </c>
      <c r="I107" s="13">
        <v>3.6999999999999998E-2</v>
      </c>
      <c r="J107" s="13">
        <v>0.1099</v>
      </c>
      <c r="K107" s="13">
        <f t="shared" si="10"/>
        <v>1</v>
      </c>
    </row>
    <row r="108" spans="1:11" x14ac:dyDescent="0.25">
      <c r="A108" s="14">
        <v>45474</v>
      </c>
      <c r="B108" s="13">
        <v>0.57640000000000002</v>
      </c>
      <c r="C108" s="13">
        <v>0.22989999999999999</v>
      </c>
      <c r="D108" s="13">
        <v>0.19370000000000001</v>
      </c>
      <c r="E108" s="13">
        <f t="shared" si="9"/>
        <v>1</v>
      </c>
      <c r="G108" s="15">
        <v>45474</v>
      </c>
      <c r="H108" s="13">
        <v>0.90510000000000002</v>
      </c>
      <c r="I108" s="13">
        <v>1.2699999999999999E-2</v>
      </c>
      <c r="J108" s="13">
        <v>8.2199999999999995E-2</v>
      </c>
      <c r="K108" s="13">
        <f t="shared" si="10"/>
        <v>1</v>
      </c>
    </row>
    <row r="109" spans="1:11" x14ac:dyDescent="0.25">
      <c r="A109" s="14">
        <v>45505</v>
      </c>
      <c r="B109" s="13">
        <v>0.56100000000000005</v>
      </c>
      <c r="C109" s="13">
        <v>0.1847</v>
      </c>
      <c r="D109" s="13">
        <v>0.25430000000000003</v>
      </c>
      <c r="E109" s="13">
        <f t="shared" si="9"/>
        <v>1</v>
      </c>
      <c r="G109" s="15">
        <v>45505</v>
      </c>
      <c r="H109" s="13">
        <v>0.89570000000000005</v>
      </c>
      <c r="I109" s="13">
        <v>3.3399999999999999E-2</v>
      </c>
      <c r="J109" s="13">
        <v>7.0900000000000005E-2</v>
      </c>
      <c r="K109" s="13">
        <f t="shared" si="10"/>
        <v>1</v>
      </c>
    </row>
    <row r="110" spans="1:11" x14ac:dyDescent="0.25">
      <c r="A110" s="14">
        <v>45536</v>
      </c>
      <c r="B110" s="13">
        <v>0.54449999999999998</v>
      </c>
      <c r="C110" s="13">
        <v>0.15310000000000001</v>
      </c>
      <c r="D110" s="13">
        <v>0.3024</v>
      </c>
      <c r="E110" s="13">
        <f t="shared" si="9"/>
        <v>1</v>
      </c>
      <c r="G110" s="15">
        <v>45536</v>
      </c>
      <c r="H110" s="13">
        <f>91.26%+0.01%</f>
        <v>0.91270000000000007</v>
      </c>
      <c r="I110" s="13">
        <v>1.11E-2</v>
      </c>
      <c r="J110" s="13">
        <v>7.6200000000000004E-2</v>
      </c>
      <c r="K110" s="13">
        <f t="shared" si="10"/>
        <v>1</v>
      </c>
    </row>
    <row r="111" spans="1:11" x14ac:dyDescent="0.25">
      <c r="A111" s="14">
        <v>45566</v>
      </c>
      <c r="B111" s="13">
        <v>0.53769999999999996</v>
      </c>
      <c r="C111" s="13">
        <v>0.15260000000000001</v>
      </c>
      <c r="D111" s="13">
        <v>0.30969999999999998</v>
      </c>
      <c r="E111" s="13">
        <f t="shared" si="9"/>
        <v>0.99999999999999989</v>
      </c>
      <c r="G111" s="15">
        <v>45566</v>
      </c>
      <c r="H111" s="13">
        <v>0.91930000000000001</v>
      </c>
      <c r="I111" s="13">
        <v>7.7999999999999996E-3</v>
      </c>
      <c r="J111" s="13">
        <v>7.2900000000000006E-2</v>
      </c>
      <c r="K111" s="13">
        <f t="shared" si="10"/>
        <v>1</v>
      </c>
    </row>
    <row r="112" spans="1:11" x14ac:dyDescent="0.25">
      <c r="A112" s="14">
        <v>45597</v>
      </c>
      <c r="B112" s="13">
        <v>0.52959999999999996</v>
      </c>
      <c r="C112" s="13">
        <v>0.108</v>
      </c>
      <c r="D112" s="13">
        <v>0.3624</v>
      </c>
      <c r="E112" s="13">
        <f t="shared" si="9"/>
        <v>1</v>
      </c>
      <c r="G112" s="15">
        <v>45597</v>
      </c>
      <c r="H112" s="13">
        <v>0.91920000000000002</v>
      </c>
      <c r="I112" s="13">
        <v>2.5000000000000001E-3</v>
      </c>
      <c r="J112" s="13">
        <v>7.8299999999999995E-2</v>
      </c>
      <c r="K112" s="13">
        <f t="shared" si="10"/>
        <v>1</v>
      </c>
    </row>
    <row r="113" spans="1:17" x14ac:dyDescent="0.25">
      <c r="A113" s="14">
        <v>45627</v>
      </c>
      <c r="B113" s="13">
        <f>54.53%+0.01%</f>
        <v>0.5454</v>
      </c>
      <c r="C113" s="13">
        <v>9.5200000000000007E-2</v>
      </c>
      <c r="D113" s="13">
        <v>0.3594</v>
      </c>
      <c r="E113" s="13">
        <f t="shared" si="9"/>
        <v>1</v>
      </c>
      <c r="G113" s="15">
        <v>45627</v>
      </c>
      <c r="H113" s="13">
        <v>0.91449999999999998</v>
      </c>
      <c r="I113" s="13">
        <v>0</v>
      </c>
      <c r="J113" s="13">
        <v>8.5500000000000007E-2</v>
      </c>
      <c r="K113" s="13">
        <f t="shared" si="10"/>
        <v>1</v>
      </c>
    </row>
    <row r="114" spans="1:17" x14ac:dyDescent="0.25">
      <c r="A114" s="14">
        <v>45658</v>
      </c>
      <c r="B114" s="13">
        <v>0.53890000000000005</v>
      </c>
      <c r="C114" s="13">
        <v>8.9300000000000004E-2</v>
      </c>
      <c r="D114" s="13">
        <v>0.37180000000000002</v>
      </c>
      <c r="E114" s="13">
        <f t="shared" si="9"/>
        <v>1</v>
      </c>
      <c r="G114" s="15">
        <v>45658</v>
      </c>
      <c r="H114" s="13">
        <v>0.94099999999999995</v>
      </c>
      <c r="I114" s="13">
        <v>0</v>
      </c>
      <c r="J114" s="13">
        <v>5.8999999999999997E-2</v>
      </c>
      <c r="K114" s="13">
        <f t="shared" si="10"/>
        <v>1</v>
      </c>
    </row>
    <row r="115" spans="1:17" x14ac:dyDescent="0.25">
      <c r="A115" s="14">
        <v>45689</v>
      </c>
      <c r="B115" s="13">
        <f>52.01%+0.01%</f>
        <v>0.5202</v>
      </c>
      <c r="C115" s="13">
        <v>0.1028</v>
      </c>
      <c r="D115" s="13">
        <v>0.377</v>
      </c>
      <c r="E115" s="13">
        <f t="shared" si="9"/>
        <v>1</v>
      </c>
      <c r="G115" s="15">
        <v>45689</v>
      </c>
      <c r="H115" s="13">
        <v>0.91849999999999998</v>
      </c>
      <c r="I115" s="13">
        <v>1.29E-2</v>
      </c>
      <c r="J115" s="13">
        <v>6.8599999999999994E-2</v>
      </c>
      <c r="K115" s="13">
        <f t="shared" si="10"/>
        <v>1</v>
      </c>
    </row>
    <row r="116" spans="1:17" x14ac:dyDescent="0.25">
      <c r="A116" s="14">
        <v>45717</v>
      </c>
      <c r="B116" s="13">
        <v>0.46820000000000001</v>
      </c>
      <c r="C116" s="13">
        <v>0.13969999999999999</v>
      </c>
      <c r="D116" s="13">
        <v>0.3921</v>
      </c>
      <c r="E116" s="13">
        <f t="shared" si="9"/>
        <v>1</v>
      </c>
      <c r="G116" s="15">
        <v>45717</v>
      </c>
      <c r="H116" s="13">
        <f>83.56%+0.01%</f>
        <v>0.8357</v>
      </c>
      <c r="I116" s="13">
        <v>3.0700000000000002E-2</v>
      </c>
      <c r="J116" s="13">
        <v>0.1336</v>
      </c>
      <c r="K116" s="13">
        <f t="shared" si="10"/>
        <v>1</v>
      </c>
    </row>
    <row r="117" spans="1:17" x14ac:dyDescent="0.25">
      <c r="A117" s="14">
        <v>45748</v>
      </c>
      <c r="B117" s="13">
        <v>0.50600000000000001</v>
      </c>
      <c r="C117" s="13">
        <v>0.17299999999999999</v>
      </c>
      <c r="D117" s="13">
        <v>0.32100000000000001</v>
      </c>
      <c r="E117" s="13">
        <f t="shared" si="9"/>
        <v>1</v>
      </c>
      <c r="G117" s="15">
        <v>45748</v>
      </c>
      <c r="H117" s="13">
        <v>0.84389999999999998</v>
      </c>
      <c r="I117" s="13">
        <v>2.4899999999999999E-2</v>
      </c>
      <c r="J117" s="13">
        <v>0.13120000000000001</v>
      </c>
      <c r="K117" s="13">
        <f t="shared" si="10"/>
        <v>1</v>
      </c>
    </row>
    <row r="118" spans="1:17" x14ac:dyDescent="0.25">
      <c r="A118" s="14">
        <v>45778</v>
      </c>
      <c r="B118" s="13">
        <v>0.51370000000000005</v>
      </c>
      <c r="C118" s="13">
        <v>0.18440000000000001</v>
      </c>
      <c r="D118" s="13">
        <v>0.3019</v>
      </c>
      <c r="E118" s="13">
        <f t="shared" si="9"/>
        <v>1</v>
      </c>
      <c r="G118" s="15">
        <v>45778</v>
      </c>
      <c r="H118" s="13">
        <v>0.874</v>
      </c>
      <c r="I118" s="13">
        <v>1.5699999999999999E-2</v>
      </c>
      <c r="J118" s="13">
        <v>0.1103</v>
      </c>
      <c r="K118" s="13">
        <f t="shared" si="10"/>
        <v>1</v>
      </c>
    </row>
    <row r="119" spans="1:17" x14ac:dyDescent="0.25">
      <c r="A119" s="14">
        <v>45809</v>
      </c>
      <c r="B119" s="13">
        <v>0.54339999999999999</v>
      </c>
      <c r="C119" s="13">
        <v>0.19620000000000001</v>
      </c>
      <c r="D119" s="13">
        <v>0.26040000000000002</v>
      </c>
      <c r="E119" s="13">
        <f t="shared" si="9"/>
        <v>1</v>
      </c>
      <c r="G119" s="15">
        <v>45809</v>
      </c>
      <c r="H119" s="13">
        <v>0.88580000000000003</v>
      </c>
      <c r="I119" s="13">
        <v>2.2499999999999999E-2</v>
      </c>
      <c r="J119" s="13">
        <v>9.1700000000000004E-2</v>
      </c>
      <c r="K119" s="13">
        <f t="shared" si="10"/>
        <v>1</v>
      </c>
    </row>
    <row r="120" spans="1:17" x14ac:dyDescent="0.25">
      <c r="A120" s="14">
        <v>45839</v>
      </c>
      <c r="B120" s="13">
        <f>53%-0.01%</f>
        <v>0.52990000000000004</v>
      </c>
      <c r="C120" s="13">
        <v>0.23830000000000001</v>
      </c>
      <c r="D120" s="13">
        <v>0.23180000000000001</v>
      </c>
      <c r="E120" s="13">
        <f t="shared" si="9"/>
        <v>1</v>
      </c>
      <c r="G120" s="15">
        <v>45839</v>
      </c>
      <c r="H120" s="13">
        <v>0.89270000000000005</v>
      </c>
      <c r="I120" s="13">
        <v>2.3699999999999999E-2</v>
      </c>
      <c r="J120" s="13">
        <v>8.3599999999999994E-2</v>
      </c>
      <c r="K120" s="13">
        <f t="shared" si="10"/>
        <v>1</v>
      </c>
    </row>
    <row r="121" spans="1:17" x14ac:dyDescent="0.25">
      <c r="A121" s="14">
        <v>45870</v>
      </c>
      <c r="B121" s="13">
        <v>0.51170000000000004</v>
      </c>
      <c r="C121" s="13">
        <v>0.20250000000000001</v>
      </c>
      <c r="D121" s="13">
        <v>0.2858</v>
      </c>
      <c r="E121" s="13">
        <f t="shared" si="9"/>
        <v>1</v>
      </c>
      <c r="G121" s="15">
        <v>45870</v>
      </c>
      <c r="H121" s="13">
        <f>85.55%-0.01%</f>
        <v>0.85539999999999994</v>
      </c>
      <c r="I121" s="13">
        <v>1.9400000000000001E-2</v>
      </c>
      <c r="J121" s="13">
        <v>0.12520000000000001</v>
      </c>
      <c r="K121" s="13">
        <f t="shared" si="10"/>
        <v>0.99999999999999989</v>
      </c>
    </row>
    <row r="122" spans="1:17" x14ac:dyDescent="0.25">
      <c r="A122" s="14">
        <v>45901</v>
      </c>
      <c r="B122" s="13">
        <v>0.52869999999999995</v>
      </c>
      <c r="C122" s="13">
        <v>0.21729999999999999</v>
      </c>
      <c r="D122" s="13">
        <v>0.254</v>
      </c>
      <c r="E122" s="13">
        <f t="shared" si="9"/>
        <v>1</v>
      </c>
      <c r="G122" s="15">
        <v>45901</v>
      </c>
      <c r="H122" s="13">
        <v>0.89400000000000002</v>
      </c>
      <c r="I122" s="13">
        <v>0.44</v>
      </c>
      <c r="J122" s="13">
        <v>0.1016</v>
      </c>
      <c r="K122" s="13">
        <f t="shared" si="10"/>
        <v>1.4356</v>
      </c>
    </row>
    <row r="123" spans="1:17" x14ac:dyDescent="0.25">
      <c r="A123" s="14"/>
      <c r="B123" s="13"/>
      <c r="C123" s="13"/>
      <c r="D123" s="13"/>
      <c r="E123" s="13"/>
      <c r="G123" s="15"/>
      <c r="H123" s="13"/>
      <c r="I123" s="13"/>
      <c r="J123" s="13"/>
      <c r="K123" s="13"/>
    </row>
    <row r="124" spans="1:17" x14ac:dyDescent="0.25">
      <c r="A124" s="14"/>
      <c r="B124" s="13"/>
      <c r="C124" s="13"/>
      <c r="D124" s="13"/>
      <c r="E124" s="13"/>
      <c r="G124" s="15"/>
      <c r="H124" s="13"/>
      <c r="I124" s="13"/>
      <c r="J124" s="13"/>
      <c r="K124" s="13"/>
    </row>
    <row r="125" spans="1:17" x14ac:dyDescent="0.25">
      <c r="A125" s="14"/>
      <c r="B125" s="13"/>
      <c r="C125" s="13"/>
      <c r="D125" s="13"/>
      <c r="E125" s="13"/>
      <c r="G125" s="15"/>
      <c r="H125" s="13"/>
      <c r="I125" s="13"/>
      <c r="J125" s="13"/>
      <c r="K125" s="13"/>
    </row>
    <row r="126" spans="1:17" x14ac:dyDescent="0.25">
      <c r="A126" s="14"/>
      <c r="B126" s="13"/>
      <c r="C126" s="13"/>
      <c r="D126" s="13"/>
      <c r="E126" s="13"/>
      <c r="G126" s="15"/>
      <c r="H126" s="13"/>
      <c r="I126" s="13"/>
      <c r="J126" s="13"/>
      <c r="K126" s="13"/>
    </row>
    <row r="127" spans="1:17" x14ac:dyDescent="0.25">
      <c r="A127" s="16" t="s">
        <v>62</v>
      </c>
      <c r="B127" s="17"/>
      <c r="C127" s="17"/>
      <c r="D127" s="17"/>
      <c r="E127" s="17"/>
      <c r="G127" s="16" t="s">
        <v>61</v>
      </c>
      <c r="H127" s="19"/>
      <c r="I127" s="19"/>
      <c r="J127" s="19"/>
      <c r="K127" s="19"/>
    </row>
    <row r="128" spans="1:17" x14ac:dyDescent="0.25">
      <c r="A128" s="27" t="str">
        <f>Pooling_Month</f>
        <v>November 2025</v>
      </c>
      <c r="B128" s="28" t="s">
        <v>21</v>
      </c>
      <c r="C128" s="28" t="s">
        <v>22</v>
      </c>
      <c r="D128" s="28" t="s">
        <v>23</v>
      </c>
      <c r="E128" s="28" t="s">
        <v>54</v>
      </c>
      <c r="G128" s="27" t="str">
        <f>Pooling_Month</f>
        <v>November 2025</v>
      </c>
      <c r="H128" s="28" t="s">
        <v>21</v>
      </c>
      <c r="I128" s="28" t="s">
        <v>22</v>
      </c>
      <c r="J128" s="28" t="s">
        <v>23</v>
      </c>
      <c r="K128" s="28" t="s">
        <v>54</v>
      </c>
      <c r="P128" s="100" t="s">
        <v>165</v>
      </c>
      <c r="Q128" s="100" t="s">
        <v>166</v>
      </c>
    </row>
    <row r="129" spans="1:17" x14ac:dyDescent="0.25">
      <c r="A129" s="31" t="s">
        <v>60</v>
      </c>
      <c r="B129" s="32">
        <f>B134</f>
        <v>0.51379999999999992</v>
      </c>
      <c r="C129" s="32">
        <f>C134</f>
        <v>0.17219999999999996</v>
      </c>
      <c r="D129" s="32">
        <f>D134</f>
        <v>0.314</v>
      </c>
      <c r="E129" s="13">
        <f>SUM(B129:D129)</f>
        <v>1</v>
      </c>
      <c r="G129" s="31" t="s">
        <v>60</v>
      </c>
      <c r="H129" s="32">
        <f>H134</f>
        <v>0.90049999999999997</v>
      </c>
      <c r="I129" s="32">
        <f>I134</f>
        <v>0.43140000000000001</v>
      </c>
      <c r="J129" s="32">
        <f>J134</f>
        <v>0.10369999999999999</v>
      </c>
      <c r="K129" s="13">
        <f>SUM(H129:J129)</f>
        <v>1.4356</v>
      </c>
      <c r="M129" s="30"/>
      <c r="O129" s="99"/>
      <c r="P129" s="13">
        <f>1-E129</f>
        <v>0</v>
      </c>
      <c r="Q129" s="227">
        <f>1-K129</f>
        <v>-0.43559999999999999</v>
      </c>
    </row>
    <row r="130" spans="1:17" ht="16.5" customHeight="1" x14ac:dyDescent="0.25"/>
    <row r="131" spans="1:17" ht="15.75" hidden="1" customHeight="1" x14ac:dyDescent="0.25">
      <c r="L131" t="s">
        <v>197</v>
      </c>
      <c r="M131" s="100"/>
      <c r="N131" s="100"/>
      <c r="O131" s="100"/>
      <c r="P131" s="100"/>
      <c r="Q131" s="100"/>
    </row>
    <row r="132" spans="1:17" ht="30" hidden="1" x14ac:dyDescent="0.25">
      <c r="A132" s="40" t="s">
        <v>214</v>
      </c>
      <c r="B132" s="13">
        <f>B112-B110</f>
        <v>-1.4900000000000024E-2</v>
      </c>
      <c r="C132" s="13">
        <f t="shared" ref="C132:K132" si="11">C112-C110</f>
        <v>-4.5100000000000015E-2</v>
      </c>
      <c r="D132" s="13">
        <f t="shared" si="11"/>
        <v>0.06</v>
      </c>
      <c r="E132" s="13">
        <f t="shared" si="11"/>
        <v>0</v>
      </c>
      <c r="F132" s="13"/>
      <c r="G132" s="13"/>
      <c r="H132" s="13">
        <f t="shared" si="11"/>
        <v>6.4999999999999503E-3</v>
      </c>
      <c r="I132" s="13">
        <f t="shared" si="11"/>
        <v>-8.6E-3</v>
      </c>
      <c r="J132" s="13">
        <f t="shared" si="11"/>
        <v>2.0999999999999908E-3</v>
      </c>
      <c r="K132" s="13">
        <f t="shared" si="11"/>
        <v>0</v>
      </c>
      <c r="M132" s="30"/>
      <c r="O132" s="99"/>
      <c r="Q132" s="30"/>
    </row>
    <row r="133" spans="1:17" ht="15.75" hidden="1" customHeight="1" x14ac:dyDescent="0.25">
      <c r="A133" s="93" t="s">
        <v>215</v>
      </c>
      <c r="B133" s="13">
        <f>B122</f>
        <v>0.52869999999999995</v>
      </c>
      <c r="C133" s="13">
        <f t="shared" ref="C133:K133" si="12">C122</f>
        <v>0.21729999999999999</v>
      </c>
      <c r="D133" s="13">
        <f t="shared" si="12"/>
        <v>0.254</v>
      </c>
      <c r="E133" s="13">
        <f t="shared" si="12"/>
        <v>1</v>
      </c>
      <c r="F133" s="13"/>
      <c r="G133" s="13"/>
      <c r="H133" s="13">
        <f t="shared" si="12"/>
        <v>0.89400000000000002</v>
      </c>
      <c r="I133" s="13">
        <f t="shared" si="12"/>
        <v>0.44</v>
      </c>
      <c r="J133" s="13">
        <f t="shared" si="12"/>
        <v>0.1016</v>
      </c>
      <c r="K133" s="13">
        <f t="shared" si="12"/>
        <v>1.4356</v>
      </c>
      <c r="M133" s="30">
        <f>C133/I133</f>
        <v>0.49386363636363634</v>
      </c>
      <c r="N133" s="228"/>
      <c r="O133" s="99">
        <f>C133/I133</f>
        <v>0.49386363636363634</v>
      </c>
      <c r="Q133" s="30"/>
    </row>
    <row r="134" spans="1:17" hidden="1" x14ac:dyDescent="0.25">
      <c r="A134" s="269" t="s">
        <v>205</v>
      </c>
      <c r="B134" s="257">
        <f>SUM(B132:B133)</f>
        <v>0.51379999999999992</v>
      </c>
      <c r="C134" s="257">
        <f t="shared" ref="C134:J134" si="13">SUM(C132:C133)</f>
        <v>0.17219999999999996</v>
      </c>
      <c r="D134" s="257">
        <f t="shared" si="13"/>
        <v>0.314</v>
      </c>
      <c r="E134" s="257">
        <f t="shared" si="13"/>
        <v>1</v>
      </c>
      <c r="F134" s="257"/>
      <c r="G134" s="257"/>
      <c r="H134" s="257">
        <f t="shared" si="13"/>
        <v>0.90049999999999997</v>
      </c>
      <c r="I134" s="257">
        <f t="shared" si="13"/>
        <v>0.43140000000000001</v>
      </c>
      <c r="J134" s="257">
        <f t="shared" si="13"/>
        <v>0.10369999999999999</v>
      </c>
      <c r="K134" s="13">
        <f t="shared" ref="K134" si="14">SUM(K132:K133)</f>
        <v>1.4356</v>
      </c>
      <c r="M134" s="30">
        <f>C134/I134</f>
        <v>0.39916550764951314</v>
      </c>
      <c r="O134" s="99">
        <f>C134/I134</f>
        <v>0.39916550764951314</v>
      </c>
      <c r="Q134" s="30"/>
    </row>
    <row r="135" spans="1:17" hidden="1" x14ac:dyDescent="0.25">
      <c r="A135" s="92" t="s">
        <v>206</v>
      </c>
      <c r="B135" s="13">
        <f>B112</f>
        <v>0.52959999999999996</v>
      </c>
      <c r="C135" s="13">
        <f t="shared" ref="C135:K135" si="15">C112</f>
        <v>0.108</v>
      </c>
      <c r="D135" s="13">
        <f t="shared" si="15"/>
        <v>0.3624</v>
      </c>
      <c r="E135" s="13">
        <f t="shared" si="15"/>
        <v>1</v>
      </c>
      <c r="F135" s="13"/>
      <c r="G135" s="13"/>
      <c r="H135" s="13">
        <f t="shared" si="15"/>
        <v>0.91920000000000002</v>
      </c>
      <c r="I135" s="13">
        <f t="shared" si="15"/>
        <v>2.5000000000000001E-3</v>
      </c>
      <c r="J135" s="13">
        <f t="shared" si="15"/>
        <v>7.8299999999999995E-2</v>
      </c>
      <c r="K135" s="13">
        <f t="shared" si="15"/>
        <v>1</v>
      </c>
      <c r="M135" s="30">
        <f>C135/I135</f>
        <v>43.199999999999996</v>
      </c>
      <c r="N135" s="228"/>
      <c r="O135" s="99">
        <f>C135/I135</f>
        <v>43.199999999999996</v>
      </c>
      <c r="Q135" s="30"/>
    </row>
    <row r="136" spans="1:17" hidden="1" x14ac:dyDescent="0.25">
      <c r="A136" t="s">
        <v>83</v>
      </c>
      <c r="B136" s="257">
        <f>AVERAGE(B134:B135)</f>
        <v>0.52169999999999994</v>
      </c>
      <c r="C136" s="257">
        <f t="shared" ref="C136:D136" si="16">AVERAGE(C134:C135)</f>
        <v>0.14009999999999997</v>
      </c>
      <c r="D136" s="257">
        <f t="shared" si="16"/>
        <v>0.3382</v>
      </c>
      <c r="E136" s="13">
        <f t="shared" ref="E136:J136" si="17">AVERAGE(E134:E135)</f>
        <v>1</v>
      </c>
      <c r="F136" s="257"/>
      <c r="G136" s="257"/>
      <c r="H136" s="257">
        <f t="shared" si="17"/>
        <v>0.90985000000000005</v>
      </c>
      <c r="I136" s="257">
        <f t="shared" si="17"/>
        <v>0.21695</v>
      </c>
      <c r="J136" s="257">
        <f t="shared" si="17"/>
        <v>9.0999999999999998E-2</v>
      </c>
      <c r="K136" s="13">
        <f>AVERAGE(K134:K135)</f>
        <v>1.2178</v>
      </c>
      <c r="L136" s="257"/>
      <c r="M136" s="30"/>
      <c r="O136" s="99"/>
      <c r="Q136" s="30"/>
    </row>
    <row r="137" spans="1:17" hidden="1" x14ac:dyDescent="0.25">
      <c r="E137" s="13"/>
      <c r="K137" s="13"/>
    </row>
    <row r="138" spans="1:17" hidden="1" x14ac:dyDescent="0.25">
      <c r="A138" s="92" t="s">
        <v>207</v>
      </c>
      <c r="B138" s="13">
        <f>B100</f>
        <v>0.55689999999999995</v>
      </c>
      <c r="C138" s="13">
        <f t="shared" ref="C138:K138" si="18">C100</f>
        <v>0.10150000000000001</v>
      </c>
      <c r="D138" s="13">
        <f t="shared" si="18"/>
        <v>0.34160000000000001</v>
      </c>
      <c r="E138" s="13">
        <f t="shared" si="18"/>
        <v>1</v>
      </c>
      <c r="F138" s="13"/>
      <c r="G138" s="13"/>
      <c r="H138" s="13">
        <f t="shared" si="18"/>
        <v>0.92269999999999996</v>
      </c>
      <c r="I138" s="13">
        <f t="shared" si="18"/>
        <v>6.4999999999999997E-3</v>
      </c>
      <c r="J138" s="13">
        <f t="shared" si="18"/>
        <v>7.0800000000000002E-2</v>
      </c>
      <c r="K138" s="13">
        <f t="shared" si="18"/>
        <v>0.99999999999999989</v>
      </c>
      <c r="M138" s="30">
        <f>C138/I138</f>
        <v>15.615384615384617</v>
      </c>
      <c r="N138" s="228"/>
      <c r="O138" s="99">
        <f>C138/I138</f>
        <v>15.615384615384617</v>
      </c>
    </row>
    <row r="139" spans="1:17" hidden="1" x14ac:dyDescent="0.25">
      <c r="A139" s="91" t="s">
        <v>208</v>
      </c>
      <c r="B139" s="13">
        <f>B88</f>
        <v>0.47889999999999999</v>
      </c>
      <c r="C139" s="13">
        <f t="shared" ref="C139:K139" si="19">C88</f>
        <v>0.1</v>
      </c>
      <c r="D139" s="13">
        <f t="shared" si="19"/>
        <v>0.42109999999999997</v>
      </c>
      <c r="E139" s="13">
        <f t="shared" si="19"/>
        <v>1</v>
      </c>
      <c r="F139" s="13"/>
      <c r="G139" s="13"/>
      <c r="H139" s="13">
        <f t="shared" si="19"/>
        <v>0.88890000000000002</v>
      </c>
      <c r="I139" s="13">
        <f t="shared" si="19"/>
        <v>5.4000000000000003E-3</v>
      </c>
      <c r="J139" s="13">
        <f t="shared" si="19"/>
        <v>0.1057</v>
      </c>
      <c r="K139" s="13">
        <f t="shared" si="19"/>
        <v>1</v>
      </c>
      <c r="M139" s="30">
        <f>C139/I139</f>
        <v>18.518518518518519</v>
      </c>
      <c r="N139" s="228"/>
      <c r="O139" s="99">
        <f>C139/I139</f>
        <v>18.518518518518519</v>
      </c>
    </row>
    <row r="140" spans="1:17" ht="30" hidden="1" x14ac:dyDescent="0.25">
      <c r="A140" s="40" t="s">
        <v>209</v>
      </c>
      <c r="B140" s="13">
        <f>AVERAGE(B134,B135,B138,B139)</f>
        <v>0.51979999999999993</v>
      </c>
      <c r="C140" s="13">
        <f t="shared" ref="C140:D140" si="20">AVERAGE(C134,C135,C138,C139)</f>
        <v>0.12042499999999998</v>
      </c>
      <c r="D140" s="13">
        <f t="shared" si="20"/>
        <v>0.35977500000000001</v>
      </c>
      <c r="E140" s="13">
        <f t="shared" ref="E140:K140" si="21">AVERAGE(E134,E135,E138,E139)</f>
        <v>1</v>
      </c>
      <c r="F140" s="13"/>
      <c r="G140" s="13"/>
      <c r="H140" s="13">
        <f t="shared" si="21"/>
        <v>0.90782499999999999</v>
      </c>
      <c r="I140" s="13">
        <f t="shared" si="21"/>
        <v>0.11145000000000001</v>
      </c>
      <c r="J140" s="13">
        <f t="shared" si="21"/>
        <v>8.962500000000001E-2</v>
      </c>
      <c r="K140" s="13">
        <f t="shared" si="21"/>
        <v>1.1089</v>
      </c>
    </row>
    <row r="141" spans="1:17" ht="30" hidden="1" x14ac:dyDescent="0.25">
      <c r="A141" s="40" t="s">
        <v>210</v>
      </c>
      <c r="B141" s="13">
        <f>AVERAGE(B134,B135,B138)</f>
        <v>0.53343333333333331</v>
      </c>
      <c r="C141" s="13">
        <f t="shared" ref="C141:D141" si="22">AVERAGE(C134,C135,C138)</f>
        <v>0.12723333333333331</v>
      </c>
      <c r="D141" s="13">
        <f t="shared" si="22"/>
        <v>0.33933333333333332</v>
      </c>
      <c r="E141" s="13">
        <f t="shared" ref="E141:K141" si="23">AVERAGE(E134,E135,E138)</f>
        <v>1</v>
      </c>
      <c r="F141" s="13"/>
      <c r="G141" s="13"/>
      <c r="H141" s="13">
        <f t="shared" si="23"/>
        <v>0.91413333333333335</v>
      </c>
      <c r="I141" s="13">
        <f t="shared" si="23"/>
        <v>0.14680000000000001</v>
      </c>
      <c r="J141" s="13">
        <f t="shared" si="23"/>
        <v>8.426666666666667E-2</v>
      </c>
      <c r="K141" s="13">
        <f t="shared" si="23"/>
        <v>1.1452</v>
      </c>
    </row>
    <row r="144" spans="1:17" x14ac:dyDescent="0.25">
      <c r="B144" s="227"/>
    </row>
  </sheetData>
  <sheetProtection algorithmName="SHA-512" hashValue="QfqRj7Xl5wyVcTUKvGDMrQIECWiHMzZDJxsa7kAq6/O/meAL1LKSUTD91sA9M7uSlg3eA1cdLiG8sdINNiW0/Q==" saltValue="2xfKMSxhUUWwM9t1wYBsXg==" spinCount="100000" sheet="1" objects="1" scenarios="1"/>
  <pageMargins left="0.7" right="0.7" top="0.75" bottom="0.75" header="0.3" footer="0.3"/>
  <pageSetup scale="3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39997558519241921"/>
  </sheetPr>
  <dimension ref="A1:E162"/>
  <sheetViews>
    <sheetView topLeftCell="A133" workbookViewId="0">
      <selection activeCell="A150" sqref="A150:XFD162"/>
    </sheetView>
  </sheetViews>
  <sheetFormatPr defaultRowHeight="15" x14ac:dyDescent="0.25"/>
  <cols>
    <col min="1" max="1" width="28.28515625" customWidth="1"/>
    <col min="2" max="2" width="16" customWidth="1"/>
  </cols>
  <sheetData>
    <row r="1" spans="1:2" ht="45" x14ac:dyDescent="0.25">
      <c r="A1" s="20" t="s">
        <v>0</v>
      </c>
      <c r="B1" s="20" t="s">
        <v>66</v>
      </c>
    </row>
    <row r="2" spans="1:2" hidden="1" x14ac:dyDescent="0.25">
      <c r="A2" s="14">
        <v>41579</v>
      </c>
      <c r="B2" s="98">
        <v>3.9271E-2</v>
      </c>
    </row>
    <row r="3" spans="1:2" hidden="1" x14ac:dyDescent="0.25">
      <c r="A3" s="14">
        <v>41609</v>
      </c>
      <c r="B3" s="98">
        <v>3.8972E-2</v>
      </c>
    </row>
    <row r="4" spans="1:2" hidden="1" x14ac:dyDescent="0.25">
      <c r="A4" s="14">
        <v>41640</v>
      </c>
      <c r="B4" s="98">
        <v>3.8156000000000002E-2</v>
      </c>
    </row>
    <row r="5" spans="1:2" hidden="1" x14ac:dyDescent="0.25">
      <c r="A5" s="14">
        <v>41671</v>
      </c>
      <c r="B5" s="98">
        <v>3.8137999999999998E-2</v>
      </c>
    </row>
    <row r="6" spans="1:2" hidden="1" x14ac:dyDescent="0.25">
      <c r="A6" s="14">
        <v>41699</v>
      </c>
      <c r="B6" s="98">
        <v>3.8086000000000002E-2</v>
      </c>
    </row>
    <row r="7" spans="1:2" hidden="1" x14ac:dyDescent="0.25">
      <c r="A7" s="14">
        <v>41730</v>
      </c>
      <c r="B7" s="98">
        <v>3.7533999999999998E-2</v>
      </c>
    </row>
    <row r="8" spans="1:2" hidden="1" x14ac:dyDescent="0.25">
      <c r="A8" s="14">
        <v>41760</v>
      </c>
      <c r="B8" s="98">
        <v>3.6961000000000001E-2</v>
      </c>
    </row>
    <row r="9" spans="1:2" hidden="1" x14ac:dyDescent="0.25">
      <c r="A9" s="14">
        <v>41791</v>
      </c>
      <c r="B9" s="98">
        <v>3.6642000000000001E-2</v>
      </c>
    </row>
    <row r="10" spans="1:2" hidden="1" x14ac:dyDescent="0.25">
      <c r="A10" s="14">
        <v>41821</v>
      </c>
      <c r="B10" s="98">
        <v>3.6463000000000002E-2</v>
      </c>
    </row>
    <row r="11" spans="1:2" hidden="1" x14ac:dyDescent="0.25">
      <c r="A11" s="14">
        <v>41852</v>
      </c>
      <c r="B11" s="98">
        <v>3.6629000000000002E-2</v>
      </c>
    </row>
    <row r="12" spans="1:2" hidden="1" x14ac:dyDescent="0.25">
      <c r="A12" s="14">
        <v>41883</v>
      </c>
      <c r="B12" s="98">
        <v>3.7984999999999998E-2</v>
      </c>
    </row>
    <row r="13" spans="1:2" hidden="1" x14ac:dyDescent="0.25">
      <c r="A13" s="14">
        <v>41913</v>
      </c>
      <c r="B13" s="98">
        <v>3.8191000000000003E-2</v>
      </c>
    </row>
    <row r="14" spans="1:2" hidden="1" x14ac:dyDescent="0.25">
      <c r="A14" s="14">
        <v>41944</v>
      </c>
      <c r="B14" s="98">
        <v>3.8389E-2</v>
      </c>
    </row>
    <row r="15" spans="1:2" hidden="1" x14ac:dyDescent="0.25">
      <c r="A15" s="14">
        <v>41974</v>
      </c>
      <c r="B15" s="98">
        <v>3.8198999999999997E-2</v>
      </c>
    </row>
    <row r="16" spans="1:2" hidden="1" x14ac:dyDescent="0.25">
      <c r="A16" s="14">
        <v>42005</v>
      </c>
      <c r="B16" s="98">
        <v>3.7596999999999998E-2</v>
      </c>
    </row>
    <row r="17" spans="1:2" hidden="1" x14ac:dyDescent="0.25">
      <c r="A17" s="14">
        <v>42036</v>
      </c>
      <c r="B17" s="98">
        <v>3.6916999999999998E-2</v>
      </c>
    </row>
    <row r="18" spans="1:2" hidden="1" x14ac:dyDescent="0.25">
      <c r="A18" s="14">
        <v>42064</v>
      </c>
      <c r="B18" s="98">
        <v>3.7019000000000003E-2</v>
      </c>
    </row>
    <row r="19" spans="1:2" hidden="1" x14ac:dyDescent="0.25">
      <c r="A19" s="14">
        <v>42095</v>
      </c>
      <c r="B19" s="98">
        <v>3.7094000000000002E-2</v>
      </c>
    </row>
    <row r="20" spans="1:2" hidden="1" x14ac:dyDescent="0.25">
      <c r="A20" s="14">
        <v>42125</v>
      </c>
      <c r="B20" s="98">
        <v>3.6919E-2</v>
      </c>
    </row>
    <row r="21" spans="1:2" hidden="1" x14ac:dyDescent="0.25">
      <c r="A21" s="14">
        <v>42156</v>
      </c>
      <c r="B21" s="98">
        <v>3.6407000000000002E-2</v>
      </c>
    </row>
    <row r="22" spans="1:2" hidden="1" x14ac:dyDescent="0.25">
      <c r="A22" s="14">
        <v>42186</v>
      </c>
      <c r="B22" s="98">
        <v>3.6199000000000002E-2</v>
      </c>
    </row>
    <row r="23" spans="1:2" hidden="1" x14ac:dyDescent="0.25">
      <c r="A23" s="14">
        <v>42217</v>
      </c>
      <c r="B23" s="98">
        <v>3.6469000000000001E-2</v>
      </c>
    </row>
    <row r="24" spans="1:2" hidden="1" x14ac:dyDescent="0.25">
      <c r="A24" s="14">
        <v>42248</v>
      </c>
      <c r="B24" s="98">
        <v>3.7427000000000002E-2</v>
      </c>
    </row>
    <row r="25" spans="1:2" hidden="1" x14ac:dyDescent="0.25">
      <c r="A25" s="14">
        <v>42278</v>
      </c>
      <c r="B25" s="98">
        <v>3.7672999999999998E-2</v>
      </c>
    </row>
    <row r="26" spans="1:2" hidden="1" x14ac:dyDescent="0.25">
      <c r="A26" s="14">
        <v>42309</v>
      </c>
      <c r="B26" s="98">
        <v>3.8150000000000003E-2</v>
      </c>
    </row>
    <row r="27" spans="1:2" hidden="1" x14ac:dyDescent="0.25">
      <c r="A27" s="14">
        <v>42339</v>
      </c>
      <c r="B27" s="98">
        <v>3.8186999999999999E-2</v>
      </c>
    </row>
    <row r="28" spans="1:2" hidden="1" x14ac:dyDescent="0.25">
      <c r="A28" s="14">
        <v>42370</v>
      </c>
      <c r="B28" s="98">
        <v>3.7734999999999998E-2</v>
      </c>
    </row>
    <row r="29" spans="1:2" hidden="1" x14ac:dyDescent="0.25">
      <c r="A29" s="14">
        <v>42401</v>
      </c>
      <c r="B29" s="98">
        <v>3.7315000000000001E-2</v>
      </c>
    </row>
    <row r="30" spans="1:2" hidden="1" x14ac:dyDescent="0.25">
      <c r="A30" s="14">
        <v>42430</v>
      </c>
      <c r="B30" s="98">
        <v>3.7400999999999997E-2</v>
      </c>
    </row>
    <row r="31" spans="1:2" hidden="1" x14ac:dyDescent="0.25">
      <c r="A31" s="14">
        <v>42461</v>
      </c>
      <c r="B31" s="98">
        <v>3.721E-2</v>
      </c>
    </row>
    <row r="32" spans="1:2" hidden="1" x14ac:dyDescent="0.25">
      <c r="A32" s="14">
        <v>42491</v>
      </c>
      <c r="B32" s="98">
        <v>3.6662E-2</v>
      </c>
    </row>
    <row r="33" spans="1:2" hidden="1" x14ac:dyDescent="0.25">
      <c r="A33" s="14">
        <v>42522</v>
      </c>
      <c r="B33" s="98">
        <v>3.6234000000000002E-2</v>
      </c>
    </row>
    <row r="34" spans="1:2" hidden="1" x14ac:dyDescent="0.25">
      <c r="A34" s="14">
        <v>42552</v>
      </c>
      <c r="B34" s="98">
        <v>3.6160999999999999E-2</v>
      </c>
    </row>
    <row r="35" spans="1:2" hidden="1" x14ac:dyDescent="0.25">
      <c r="A35" s="14">
        <v>42583</v>
      </c>
      <c r="B35" s="98">
        <v>3.6685000000000002E-2</v>
      </c>
    </row>
    <row r="36" spans="1:2" hidden="1" x14ac:dyDescent="0.25">
      <c r="A36" s="14">
        <v>42614</v>
      </c>
      <c r="B36" s="98">
        <v>3.7725000000000002E-2</v>
      </c>
    </row>
    <row r="37" spans="1:2" hidden="1" x14ac:dyDescent="0.25">
      <c r="A37" s="14">
        <v>42644</v>
      </c>
      <c r="B37" s="25">
        <v>3.8245000000000001E-2</v>
      </c>
    </row>
    <row r="38" spans="1:2" hidden="1" x14ac:dyDescent="0.25">
      <c r="A38" s="14">
        <v>42675</v>
      </c>
      <c r="B38" s="25">
        <v>3.8296999999999998E-2</v>
      </c>
    </row>
    <row r="39" spans="1:2" hidden="1" x14ac:dyDescent="0.25">
      <c r="A39" s="14">
        <v>42705</v>
      </c>
      <c r="B39" s="25">
        <v>3.8397000000000001E-2</v>
      </c>
    </row>
    <row r="40" spans="1:2" hidden="1" x14ac:dyDescent="0.25">
      <c r="A40" s="14">
        <v>42736</v>
      </c>
      <c r="B40" s="25">
        <v>3.7935000000000003E-2</v>
      </c>
    </row>
    <row r="41" spans="1:2" hidden="1" x14ac:dyDescent="0.25">
      <c r="A41" s="14">
        <v>42767</v>
      </c>
      <c r="B41" s="25">
        <v>3.7583999999999999E-2</v>
      </c>
    </row>
    <row r="42" spans="1:2" hidden="1" x14ac:dyDescent="0.25">
      <c r="A42" s="14">
        <v>42795</v>
      </c>
      <c r="B42" s="25">
        <v>3.7379000000000003E-2</v>
      </c>
    </row>
    <row r="43" spans="1:2" hidden="1" x14ac:dyDescent="0.25">
      <c r="A43" s="14">
        <v>42826</v>
      </c>
      <c r="B43" s="25">
        <v>3.7352000000000003E-2</v>
      </c>
    </row>
    <row r="44" spans="1:2" hidden="1" x14ac:dyDescent="0.25">
      <c r="A44" s="14">
        <v>42856</v>
      </c>
      <c r="B44" s="25">
        <v>3.7032000000000002E-2</v>
      </c>
    </row>
    <row r="45" spans="1:2" hidden="1" x14ac:dyDescent="0.25">
      <c r="A45" s="14">
        <v>42887</v>
      </c>
      <c r="B45" s="25">
        <v>3.6415000000000003E-2</v>
      </c>
    </row>
    <row r="46" spans="1:2" hidden="1" x14ac:dyDescent="0.25">
      <c r="A46" s="14">
        <v>42917</v>
      </c>
      <c r="B46" s="25">
        <v>3.6141E-2</v>
      </c>
    </row>
    <row r="47" spans="1:2" hidden="1" x14ac:dyDescent="0.25">
      <c r="A47" s="14">
        <v>42948</v>
      </c>
      <c r="B47" s="25">
        <v>3.6865000000000002E-2</v>
      </c>
    </row>
    <row r="48" spans="1:2" hidden="1" x14ac:dyDescent="0.25">
      <c r="A48" s="14">
        <v>42979</v>
      </c>
      <c r="B48" s="25">
        <v>3.7662000000000001E-2</v>
      </c>
    </row>
    <row r="49" spans="1:2" hidden="1" x14ac:dyDescent="0.25">
      <c r="A49" s="14">
        <v>43009</v>
      </c>
      <c r="B49" s="25">
        <v>3.8712999999999997E-2</v>
      </c>
    </row>
    <row r="50" spans="1:2" hidden="1" x14ac:dyDescent="0.25">
      <c r="A50" s="14">
        <v>43040</v>
      </c>
      <c r="B50" s="25">
        <v>3.8952000000000001E-2</v>
      </c>
    </row>
    <row r="51" spans="1:2" hidden="1" x14ac:dyDescent="0.25">
      <c r="A51" s="14">
        <v>43070</v>
      </c>
      <c r="B51" s="25">
        <v>3.8628000000000003E-2</v>
      </c>
    </row>
    <row r="52" spans="1:2" hidden="1" x14ac:dyDescent="0.25">
      <c r="A52" s="14">
        <v>43101</v>
      </c>
      <c r="B52" s="25">
        <v>3.8381999999999999E-2</v>
      </c>
    </row>
    <row r="53" spans="1:2" hidden="1" x14ac:dyDescent="0.25">
      <c r="A53" s="14">
        <v>43132</v>
      </c>
      <c r="B53" s="25">
        <v>3.8116999999999998E-2</v>
      </c>
    </row>
    <row r="54" spans="1:2" hidden="1" x14ac:dyDescent="0.25">
      <c r="A54" s="14">
        <v>43160</v>
      </c>
      <c r="B54" s="25">
        <v>3.8272E-2</v>
      </c>
    </row>
    <row r="55" spans="1:2" hidden="1" x14ac:dyDescent="0.25">
      <c r="A55" s="14">
        <v>43191</v>
      </c>
      <c r="B55" s="25">
        <v>3.8038000000000002E-2</v>
      </c>
    </row>
    <row r="56" spans="1:2" hidden="1" x14ac:dyDescent="0.25">
      <c r="A56" s="14">
        <v>43221</v>
      </c>
      <c r="B56" s="25">
        <v>3.7435999999999997E-2</v>
      </c>
    </row>
    <row r="57" spans="1:2" hidden="1" x14ac:dyDescent="0.25">
      <c r="A57" s="14">
        <v>43252</v>
      </c>
      <c r="B57" s="25">
        <v>3.6787E-2</v>
      </c>
    </row>
    <row r="58" spans="1:2" hidden="1" x14ac:dyDescent="0.25">
      <c r="A58" s="14">
        <v>43282</v>
      </c>
      <c r="B58" s="25">
        <v>3.6815000000000001E-2</v>
      </c>
    </row>
    <row r="59" spans="1:2" hidden="1" x14ac:dyDescent="0.25">
      <c r="A59" s="14">
        <v>43313</v>
      </c>
      <c r="B59" s="25">
        <v>3.7021999999999999E-2</v>
      </c>
    </row>
    <row r="60" spans="1:2" hidden="1" x14ac:dyDescent="0.25">
      <c r="A60" s="14">
        <v>43344</v>
      </c>
      <c r="B60" s="25">
        <v>3.8191000000000003E-2</v>
      </c>
    </row>
    <row r="61" spans="1:2" hidden="1" x14ac:dyDescent="0.25">
      <c r="A61" s="14">
        <v>43374</v>
      </c>
      <c r="B61" s="25">
        <v>3.9246000000000003E-2</v>
      </c>
    </row>
    <row r="62" spans="1:2" hidden="1" x14ac:dyDescent="0.25">
      <c r="A62" s="14">
        <v>43405</v>
      </c>
      <c r="B62" s="25">
        <v>3.9052999999999997E-2</v>
      </c>
    </row>
    <row r="63" spans="1:2" hidden="1" x14ac:dyDescent="0.25">
      <c r="A63" s="14">
        <v>43435</v>
      </c>
      <c r="B63" s="25">
        <v>3.8817999999999998E-2</v>
      </c>
    </row>
    <row r="64" spans="1:2" hidden="1" x14ac:dyDescent="0.25">
      <c r="A64" s="14">
        <v>43466</v>
      </c>
      <c r="B64" s="25">
        <v>3.8342000000000001E-2</v>
      </c>
    </row>
    <row r="65" spans="1:2" hidden="1" x14ac:dyDescent="0.25">
      <c r="A65" s="14">
        <v>43497</v>
      </c>
      <c r="B65" s="25">
        <v>3.8463999999999998E-2</v>
      </c>
    </row>
    <row r="66" spans="1:2" hidden="1" x14ac:dyDescent="0.25">
      <c r="A66" s="14">
        <v>43525</v>
      </c>
      <c r="B66" s="25">
        <v>3.8568999999999999E-2</v>
      </c>
    </row>
    <row r="67" spans="1:2" hidden="1" x14ac:dyDescent="0.25">
      <c r="A67" s="14">
        <v>43556</v>
      </c>
      <c r="B67" s="25">
        <v>3.7928000000000003E-2</v>
      </c>
    </row>
    <row r="68" spans="1:2" hidden="1" x14ac:dyDescent="0.25">
      <c r="A68" s="14">
        <v>43586</v>
      </c>
      <c r="B68" s="25">
        <v>3.7678000000000003E-2</v>
      </c>
    </row>
    <row r="69" spans="1:2" hidden="1" x14ac:dyDescent="0.25">
      <c r="A69" s="14">
        <v>43617</v>
      </c>
      <c r="B69" s="25">
        <v>3.6981E-2</v>
      </c>
    </row>
    <row r="70" spans="1:2" hidden="1" x14ac:dyDescent="0.25">
      <c r="A70" s="14">
        <v>43647</v>
      </c>
      <c r="B70" s="25">
        <v>3.6919E-2</v>
      </c>
    </row>
    <row r="71" spans="1:2" hidden="1" x14ac:dyDescent="0.25">
      <c r="A71" s="14">
        <v>43678</v>
      </c>
      <c r="B71" s="25">
        <v>3.7192000000000003E-2</v>
      </c>
    </row>
    <row r="72" spans="1:2" hidden="1" x14ac:dyDescent="0.25">
      <c r="A72" s="14">
        <v>43709</v>
      </c>
      <c r="B72" s="25">
        <v>3.8346999999999999E-2</v>
      </c>
    </row>
    <row r="73" spans="1:2" hidden="1" x14ac:dyDescent="0.25">
      <c r="A73" s="14">
        <v>43739</v>
      </c>
      <c r="B73" s="25">
        <v>3.9694E-2</v>
      </c>
    </row>
    <row r="74" spans="1:2" hidden="1" x14ac:dyDescent="0.25">
      <c r="A74" s="14">
        <v>43770</v>
      </c>
      <c r="B74" s="25">
        <v>3.9497999999999998E-2</v>
      </c>
    </row>
    <row r="75" spans="1:2" hidden="1" x14ac:dyDescent="0.25">
      <c r="A75" s="14">
        <v>43800</v>
      </c>
      <c r="B75" s="25">
        <v>3.9086000000000003E-2</v>
      </c>
    </row>
    <row r="76" spans="1:2" hidden="1" x14ac:dyDescent="0.25">
      <c r="A76" s="14">
        <v>43831</v>
      </c>
      <c r="B76" s="25">
        <v>3.8771E-2</v>
      </c>
    </row>
    <row r="77" spans="1:2" hidden="1" x14ac:dyDescent="0.25">
      <c r="A77" s="14">
        <v>43862</v>
      </c>
      <c r="B77" s="25">
        <v>3.866E-2</v>
      </c>
    </row>
    <row r="78" spans="1:2" hidden="1" x14ac:dyDescent="0.25">
      <c r="A78" s="14">
        <v>43891</v>
      </c>
      <c r="B78" s="25">
        <v>3.8552999999999997E-2</v>
      </c>
    </row>
    <row r="79" spans="1:2" hidden="1" x14ac:dyDescent="0.25">
      <c r="A79" s="14">
        <v>43922</v>
      </c>
      <c r="B79" s="25">
        <v>3.8244E-2</v>
      </c>
    </row>
    <row r="80" spans="1:2" hidden="1" x14ac:dyDescent="0.25">
      <c r="A80" s="14">
        <v>43952</v>
      </c>
      <c r="B80" s="25">
        <v>3.7574000000000003E-2</v>
      </c>
    </row>
    <row r="81" spans="1:2" hidden="1" x14ac:dyDescent="0.25">
      <c r="A81" s="14">
        <v>43983</v>
      </c>
      <c r="B81" s="25">
        <v>3.7144000000000003E-2</v>
      </c>
    </row>
    <row r="82" spans="1:2" hidden="1" x14ac:dyDescent="0.25">
      <c r="A82" s="14">
        <v>44013</v>
      </c>
      <c r="B82" s="25">
        <v>3.6516E-2</v>
      </c>
    </row>
    <row r="83" spans="1:2" hidden="1" x14ac:dyDescent="0.25">
      <c r="A83" s="14">
        <v>44044</v>
      </c>
      <c r="B83" s="25">
        <v>3.6880000000000003E-2</v>
      </c>
    </row>
    <row r="84" spans="1:2" hidden="1" x14ac:dyDescent="0.25">
      <c r="A84" s="14">
        <v>44075</v>
      </c>
      <c r="B84" s="25">
        <v>3.8349000000000001E-2</v>
      </c>
    </row>
    <row r="85" spans="1:2" hidden="1" x14ac:dyDescent="0.25">
      <c r="A85" s="14">
        <v>44105</v>
      </c>
      <c r="B85" s="25">
        <v>3.9593000000000003E-2</v>
      </c>
    </row>
    <row r="86" spans="1:2" hidden="1" x14ac:dyDescent="0.25">
      <c r="A86" s="14">
        <v>44136</v>
      </c>
      <c r="B86" s="25">
        <v>3.9933000000000003E-2</v>
      </c>
    </row>
    <row r="87" spans="1:2" hidden="1" x14ac:dyDescent="0.25">
      <c r="A87" s="14">
        <v>44166</v>
      </c>
      <c r="B87" s="25">
        <v>3.9591000000000001E-2</v>
      </c>
    </row>
    <row r="88" spans="1:2" x14ac:dyDescent="0.25">
      <c r="A88" s="14">
        <v>44197</v>
      </c>
      <c r="B88" s="25">
        <v>3.9043000000000001E-2</v>
      </c>
    </row>
    <row r="89" spans="1:2" x14ac:dyDescent="0.25">
      <c r="A89" s="14">
        <v>44228</v>
      </c>
      <c r="B89" s="25">
        <v>3.8912000000000002E-2</v>
      </c>
    </row>
    <row r="90" spans="1:2" x14ac:dyDescent="0.25">
      <c r="A90" s="14">
        <v>44256</v>
      </c>
      <c r="B90" s="25">
        <v>3.8726999999999998E-2</v>
      </c>
    </row>
    <row r="91" spans="1:2" x14ac:dyDescent="0.25">
      <c r="A91" s="14">
        <v>44287</v>
      </c>
      <c r="B91" s="25">
        <v>3.8526999999999999E-2</v>
      </c>
    </row>
    <row r="92" spans="1:2" x14ac:dyDescent="0.25">
      <c r="A92" s="14">
        <v>44317</v>
      </c>
      <c r="B92" s="25">
        <v>3.7664000000000003E-2</v>
      </c>
    </row>
    <row r="93" spans="1:2" x14ac:dyDescent="0.25">
      <c r="A93" s="14">
        <v>44348</v>
      </c>
      <c r="B93" s="25">
        <v>3.6935999999999997E-2</v>
      </c>
    </row>
    <row r="94" spans="1:2" x14ac:dyDescent="0.25">
      <c r="A94" s="14">
        <v>44378</v>
      </c>
      <c r="B94" s="25">
        <v>3.6235000000000003E-2</v>
      </c>
    </row>
    <row r="95" spans="1:2" x14ac:dyDescent="0.25">
      <c r="A95" s="14">
        <v>44409</v>
      </c>
      <c r="B95" s="25">
        <v>3.6764999999999999E-2</v>
      </c>
    </row>
    <row r="96" spans="1:2" x14ac:dyDescent="0.25">
      <c r="A96" s="14">
        <v>44440</v>
      </c>
      <c r="B96" s="25">
        <v>3.7744E-2</v>
      </c>
    </row>
    <row r="97" spans="1:2" x14ac:dyDescent="0.25">
      <c r="A97" s="14">
        <v>44470</v>
      </c>
      <c r="B97" s="25">
        <v>3.8330999999999997E-2</v>
      </c>
    </row>
    <row r="98" spans="1:2" x14ac:dyDescent="0.25">
      <c r="A98" s="14">
        <v>44501</v>
      </c>
      <c r="B98" s="25">
        <v>3.8744000000000001E-2</v>
      </c>
    </row>
    <row r="99" spans="1:2" x14ac:dyDescent="0.25">
      <c r="A99" s="14">
        <v>44531</v>
      </c>
      <c r="B99" s="25">
        <v>3.8668000000000001E-2</v>
      </c>
    </row>
    <row r="100" spans="1:2" x14ac:dyDescent="0.25">
      <c r="A100" s="14">
        <v>44562</v>
      </c>
      <c r="B100" s="25">
        <v>3.8707999999999999E-2</v>
      </c>
    </row>
    <row r="101" spans="1:2" x14ac:dyDescent="0.25">
      <c r="A101" s="14">
        <v>44593</v>
      </c>
      <c r="B101" s="25">
        <v>3.8753999999999997E-2</v>
      </c>
    </row>
    <row r="102" spans="1:2" x14ac:dyDescent="0.25">
      <c r="A102" s="14">
        <v>44621</v>
      </c>
      <c r="B102" s="25">
        <v>3.8438E-2</v>
      </c>
    </row>
    <row r="103" spans="1:2" x14ac:dyDescent="0.25">
      <c r="A103" s="14">
        <v>44652</v>
      </c>
      <c r="B103" s="25">
        <v>3.8359999999999998E-2</v>
      </c>
    </row>
    <row r="104" spans="1:2" x14ac:dyDescent="0.25">
      <c r="A104" s="14">
        <v>44682</v>
      </c>
      <c r="B104" s="25">
        <v>3.7957999999999999E-2</v>
      </c>
    </row>
    <row r="105" spans="1:2" x14ac:dyDescent="0.25">
      <c r="A105" s="14">
        <v>44713</v>
      </c>
      <c r="B105" s="25">
        <v>3.7844999999999997E-2</v>
      </c>
    </row>
    <row r="106" spans="1:2" x14ac:dyDescent="0.25">
      <c r="A106" s="14">
        <v>44743</v>
      </c>
      <c r="B106" s="25">
        <v>3.7290999999999998E-2</v>
      </c>
    </row>
    <row r="107" spans="1:2" x14ac:dyDescent="0.25">
      <c r="A107" s="14">
        <v>44774</v>
      </c>
      <c r="B107" s="25">
        <v>3.7207999999999998E-2</v>
      </c>
    </row>
    <row r="108" spans="1:2" x14ac:dyDescent="0.25">
      <c r="A108" s="14">
        <v>44805</v>
      </c>
      <c r="B108" s="25">
        <v>3.8096789999999998E-2</v>
      </c>
    </row>
    <row r="109" spans="1:2" x14ac:dyDescent="0.25">
      <c r="A109" s="14">
        <v>44835</v>
      </c>
      <c r="B109" s="25">
        <v>3.9205000000000004E-2</v>
      </c>
    </row>
    <row r="110" spans="1:2" x14ac:dyDescent="0.25">
      <c r="A110" s="14">
        <v>44866</v>
      </c>
      <c r="B110" s="25">
        <v>4.0593999999999998E-2</v>
      </c>
    </row>
    <row r="111" spans="1:2" x14ac:dyDescent="0.25">
      <c r="A111" s="14">
        <v>44896</v>
      </c>
      <c r="B111" s="25">
        <v>4.0015000000000002E-2</v>
      </c>
    </row>
    <row r="112" spans="1:2" x14ac:dyDescent="0.25">
      <c r="A112" s="14">
        <v>44927</v>
      </c>
      <c r="B112" s="25">
        <v>3.9440000000000003E-2</v>
      </c>
    </row>
    <row r="113" spans="1:2" x14ac:dyDescent="0.25">
      <c r="A113" s="14">
        <v>44958</v>
      </c>
      <c r="B113" s="25">
        <v>3.9021E-2</v>
      </c>
    </row>
    <row r="114" spans="1:2" x14ac:dyDescent="0.25">
      <c r="A114" s="14">
        <v>44986</v>
      </c>
      <c r="B114" s="25">
        <v>3.9283999999999999E-2</v>
      </c>
    </row>
    <row r="115" spans="1:2" x14ac:dyDescent="0.25">
      <c r="A115" s="14">
        <v>45017</v>
      </c>
      <c r="B115" s="25">
        <v>3.9171999999999998E-2</v>
      </c>
    </row>
    <row r="116" spans="1:2" x14ac:dyDescent="0.25">
      <c r="A116" s="14">
        <v>45047</v>
      </c>
      <c r="B116" s="25">
        <v>3.8096999999999999E-2</v>
      </c>
    </row>
    <row r="117" spans="1:2" x14ac:dyDescent="0.25">
      <c r="A117" s="14">
        <v>45078</v>
      </c>
      <c r="B117" s="25">
        <v>3.7645999999999999E-2</v>
      </c>
    </row>
    <row r="118" spans="1:2" x14ac:dyDescent="0.25">
      <c r="A118" s="14">
        <v>45108</v>
      </c>
      <c r="B118" s="25">
        <v>3.7977999999999998E-2</v>
      </c>
    </row>
    <row r="119" spans="1:2" x14ac:dyDescent="0.25">
      <c r="A119" s="14">
        <v>45139</v>
      </c>
      <c r="B119" s="25">
        <v>3.8273000000000001E-2</v>
      </c>
    </row>
    <row r="120" spans="1:2" x14ac:dyDescent="0.25">
      <c r="A120" s="14">
        <v>45170</v>
      </c>
      <c r="B120" s="25">
        <v>3.9148000000000002E-2</v>
      </c>
    </row>
    <row r="121" spans="1:2" x14ac:dyDescent="0.25">
      <c r="A121" s="14">
        <v>45200</v>
      </c>
      <c r="B121" s="25">
        <v>4.0426999999999998E-2</v>
      </c>
    </row>
    <row r="122" spans="1:2" x14ac:dyDescent="0.25">
      <c r="A122" s="14">
        <v>45231</v>
      </c>
      <c r="B122" s="25">
        <v>4.1021000000000002E-2</v>
      </c>
    </row>
    <row r="123" spans="1:2" x14ac:dyDescent="0.25">
      <c r="A123" s="14">
        <v>45261</v>
      </c>
      <c r="B123" s="25">
        <v>4.0779999999999997E-2</v>
      </c>
    </row>
    <row r="124" spans="1:2" x14ac:dyDescent="0.25">
      <c r="A124" s="14">
        <v>45292</v>
      </c>
      <c r="B124" s="25">
        <v>4.0521000000000001E-2</v>
      </c>
    </row>
    <row r="125" spans="1:2" x14ac:dyDescent="0.25">
      <c r="A125" s="14">
        <v>45323</v>
      </c>
      <c r="B125" s="25">
        <v>3.9946000000000002E-2</v>
      </c>
    </row>
    <row r="126" spans="1:2" x14ac:dyDescent="0.25">
      <c r="A126" s="14">
        <v>45352</v>
      </c>
      <c r="B126" s="25">
        <v>4.0159E-2</v>
      </c>
    </row>
    <row r="127" spans="1:2" x14ac:dyDescent="0.25">
      <c r="A127" s="14">
        <v>45383</v>
      </c>
      <c r="B127" s="25">
        <v>3.9740999999999999E-2</v>
      </c>
    </row>
    <row r="128" spans="1:2" x14ac:dyDescent="0.25">
      <c r="A128" s="14">
        <v>45413</v>
      </c>
      <c r="B128" s="25">
        <v>3.9565000000000003E-2</v>
      </c>
    </row>
    <row r="129" spans="1:2" x14ac:dyDescent="0.25">
      <c r="A129" s="14">
        <v>45444</v>
      </c>
      <c r="B129" s="25">
        <v>3.9065999999999997E-2</v>
      </c>
    </row>
    <row r="130" spans="1:2" x14ac:dyDescent="0.25">
      <c r="A130" s="14">
        <v>45474</v>
      </c>
      <c r="B130" s="25">
        <v>3.8640000000000001E-2</v>
      </c>
    </row>
    <row r="131" spans="1:2" x14ac:dyDescent="0.25">
      <c r="A131" s="14">
        <v>45505</v>
      </c>
      <c r="B131" s="25">
        <v>3.8317999999999998E-2</v>
      </c>
    </row>
    <row r="132" spans="1:2" x14ac:dyDescent="0.25">
      <c r="A132" s="14">
        <v>45536</v>
      </c>
      <c r="B132" s="25">
        <v>3.9378000000000003E-2</v>
      </c>
    </row>
    <row r="133" spans="1:2" x14ac:dyDescent="0.25">
      <c r="A133" s="14">
        <v>45566</v>
      </c>
      <c r="B133" s="25">
        <v>4.0328999999999997E-2</v>
      </c>
    </row>
    <row r="134" spans="1:2" x14ac:dyDescent="0.25">
      <c r="A134" s="14">
        <v>45597</v>
      </c>
      <c r="B134" s="25">
        <v>4.0876999999999997E-2</v>
      </c>
    </row>
    <row r="135" spans="1:2" x14ac:dyDescent="0.25">
      <c r="A135" s="14">
        <v>45627</v>
      </c>
      <c r="B135" s="25">
        <v>4.0756000000000001E-2</v>
      </c>
    </row>
    <row r="136" spans="1:2" x14ac:dyDescent="0.25">
      <c r="A136" s="14">
        <v>45658</v>
      </c>
      <c r="B136" s="25">
        <v>4.0280000000000003E-2</v>
      </c>
    </row>
    <row r="137" spans="1:2" x14ac:dyDescent="0.25">
      <c r="A137" s="14">
        <v>45689</v>
      </c>
      <c r="B137" s="25">
        <v>4.0393999999999999E-2</v>
      </c>
    </row>
    <row r="138" spans="1:2" x14ac:dyDescent="0.25">
      <c r="A138" s="14">
        <v>45717</v>
      </c>
      <c r="B138" s="25">
        <v>4.0131E-2</v>
      </c>
    </row>
    <row r="139" spans="1:2" x14ac:dyDescent="0.25">
      <c r="A139" s="14">
        <v>45748</v>
      </c>
      <c r="B139" s="25">
        <v>4.0289999999999999E-2</v>
      </c>
    </row>
    <row r="140" spans="1:2" x14ac:dyDescent="0.25">
      <c r="A140" s="14">
        <v>45778</v>
      </c>
      <c r="B140" s="25">
        <v>3.9844999999999998E-2</v>
      </c>
    </row>
    <row r="141" spans="1:2" x14ac:dyDescent="0.25">
      <c r="A141" s="14">
        <v>45809</v>
      </c>
      <c r="B141" s="25">
        <v>3.9418000000000002E-2</v>
      </c>
    </row>
    <row r="142" spans="1:2" x14ac:dyDescent="0.25">
      <c r="A142" s="14">
        <v>45839</v>
      </c>
      <c r="B142" s="25">
        <v>3.9036000000000001E-2</v>
      </c>
    </row>
    <row r="143" spans="1:2" x14ac:dyDescent="0.25">
      <c r="A143" s="14">
        <v>45870</v>
      </c>
      <c r="B143" s="25">
        <v>3.9201E-2</v>
      </c>
    </row>
    <row r="144" spans="1:2" x14ac:dyDescent="0.25">
      <c r="A144" s="14">
        <v>45901</v>
      </c>
      <c r="B144" s="25">
        <v>3.9910000000000001E-2</v>
      </c>
    </row>
    <row r="145" spans="1:5" x14ac:dyDescent="0.25">
      <c r="A145" s="14"/>
      <c r="B145" s="25"/>
    </row>
    <row r="146" spans="1:5" x14ac:dyDescent="0.25">
      <c r="A146" s="14"/>
      <c r="B146" s="25"/>
    </row>
    <row r="147" spans="1:5" x14ac:dyDescent="0.25">
      <c r="A147" s="261"/>
      <c r="B147" s="25"/>
    </row>
    <row r="148" spans="1:5" ht="45" x14ac:dyDescent="0.25">
      <c r="A148" s="27" t="str">
        <f>Pooling_Month</f>
        <v>November 2025</v>
      </c>
      <c r="B148" s="20" t="s">
        <v>65</v>
      </c>
    </row>
    <row r="149" spans="1:5" ht="13.5" customHeight="1" x14ac:dyDescent="0.25">
      <c r="A149" s="31" t="s">
        <v>60</v>
      </c>
      <c r="B149" s="32">
        <f>B154</f>
        <v>4.1921E-2</v>
      </c>
    </row>
    <row r="151" spans="1:5" ht="14.25" hidden="1" customHeight="1" x14ac:dyDescent="0.25">
      <c r="E151" t="s">
        <v>192</v>
      </c>
    </row>
    <row r="152" spans="1:5" ht="30" hidden="1" x14ac:dyDescent="0.25">
      <c r="A152" s="40" t="s">
        <v>214</v>
      </c>
      <c r="B152" s="25">
        <f>B133-B131</f>
        <v>2.0109999999999989E-3</v>
      </c>
    </row>
    <row r="153" spans="1:5" hidden="1" x14ac:dyDescent="0.25">
      <c r="A153" s="93" t="s">
        <v>215</v>
      </c>
      <c r="B153" s="25">
        <f>B144</f>
        <v>3.9910000000000001E-2</v>
      </c>
    </row>
    <row r="154" spans="1:5" hidden="1" x14ac:dyDescent="0.25">
      <c r="A154" s="269" t="s">
        <v>211</v>
      </c>
      <c r="B154" s="25">
        <f>SUM(B152:B153)</f>
        <v>4.1921E-2</v>
      </c>
    </row>
    <row r="155" spans="1:5" hidden="1" x14ac:dyDescent="0.25">
      <c r="A155" s="92" t="s">
        <v>206</v>
      </c>
      <c r="B155" s="25">
        <f>B134</f>
        <v>4.0876999999999997E-2</v>
      </c>
    </row>
    <row r="156" spans="1:5" hidden="1" x14ac:dyDescent="0.25">
      <c r="A156" t="s">
        <v>83</v>
      </c>
      <c r="B156" s="25">
        <f>AVERAGE(B154:B155)</f>
        <v>4.1398999999999998E-2</v>
      </c>
    </row>
    <row r="157" spans="1:5" hidden="1" x14ac:dyDescent="0.25">
      <c r="B157" s="25"/>
    </row>
    <row r="158" spans="1:5" hidden="1" x14ac:dyDescent="0.25">
      <c r="A158" s="92" t="s">
        <v>207</v>
      </c>
      <c r="B158" s="25">
        <f>B122</f>
        <v>4.1021000000000002E-2</v>
      </c>
    </row>
    <row r="159" spans="1:5" hidden="1" x14ac:dyDescent="0.25">
      <c r="A159" s="91" t="s">
        <v>208</v>
      </c>
      <c r="B159" s="25">
        <f>B110</f>
        <v>4.0593999999999998E-2</v>
      </c>
    </row>
    <row r="160" spans="1:5" ht="30" hidden="1" x14ac:dyDescent="0.25">
      <c r="A160" s="40" t="s">
        <v>209</v>
      </c>
      <c r="B160" s="25">
        <f>(B154+B155+B158+B159)/4</f>
        <v>4.1103250000000001E-2</v>
      </c>
    </row>
    <row r="161" spans="1:2" hidden="1" x14ac:dyDescent="0.25">
      <c r="A161" s="40" t="s">
        <v>212</v>
      </c>
      <c r="B161" s="25">
        <f>(B154+B155+B158)/3</f>
        <v>4.1272999999999997E-2</v>
      </c>
    </row>
    <row r="162" spans="1:2" x14ac:dyDescent="0.25">
      <c r="A162" s="4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39997558519241921"/>
    <pageSetUpPr fitToPage="1"/>
  </sheetPr>
  <dimension ref="A1:F162"/>
  <sheetViews>
    <sheetView topLeftCell="A129" workbookViewId="0">
      <selection activeCell="D164" sqref="D164"/>
    </sheetView>
  </sheetViews>
  <sheetFormatPr defaultRowHeight="15" x14ac:dyDescent="0.25"/>
  <cols>
    <col min="1" max="1" width="22.85546875" customWidth="1"/>
    <col min="2" max="2" width="16.85546875" customWidth="1"/>
    <col min="3" max="3" width="11.5703125" bestFit="1" customWidth="1"/>
    <col min="5" max="6" width="11.5703125" bestFit="1" customWidth="1"/>
  </cols>
  <sheetData>
    <row r="1" spans="1:2" ht="45" x14ac:dyDescent="0.25">
      <c r="A1" s="22" t="s">
        <v>0</v>
      </c>
      <c r="B1" s="20" t="s">
        <v>68</v>
      </c>
    </row>
    <row r="2" spans="1:2" hidden="1" x14ac:dyDescent="0.25">
      <c r="A2" s="14">
        <v>41579</v>
      </c>
      <c r="B2" s="21">
        <v>749309</v>
      </c>
    </row>
    <row r="3" spans="1:2" ht="15.75" hidden="1" customHeight="1" x14ac:dyDescent="0.25">
      <c r="A3" s="14">
        <v>41609</v>
      </c>
      <c r="B3" s="21">
        <v>774843</v>
      </c>
    </row>
    <row r="4" spans="1:2" hidden="1" x14ac:dyDescent="0.25">
      <c r="A4" s="14">
        <v>41640</v>
      </c>
      <c r="B4" s="21">
        <v>793976</v>
      </c>
    </row>
    <row r="5" spans="1:2" hidden="1" x14ac:dyDescent="0.25">
      <c r="A5" s="14">
        <v>41671</v>
      </c>
      <c r="B5" s="21">
        <v>794040</v>
      </c>
    </row>
    <row r="6" spans="1:2" hidden="1" x14ac:dyDescent="0.25">
      <c r="A6" s="14">
        <v>41699</v>
      </c>
      <c r="B6" s="21">
        <v>790678</v>
      </c>
    </row>
    <row r="7" spans="1:2" hidden="1" x14ac:dyDescent="0.25">
      <c r="A7" s="14">
        <v>41730</v>
      </c>
      <c r="B7" s="21">
        <v>797581</v>
      </c>
    </row>
    <row r="8" spans="1:2" hidden="1" x14ac:dyDescent="0.25">
      <c r="A8" s="14">
        <v>41760</v>
      </c>
      <c r="B8" s="21">
        <v>812583</v>
      </c>
    </row>
    <row r="9" spans="1:2" hidden="1" x14ac:dyDescent="0.25">
      <c r="A9" s="14">
        <v>41791</v>
      </c>
      <c r="B9" s="21">
        <v>826830</v>
      </c>
    </row>
    <row r="10" spans="1:2" hidden="1" x14ac:dyDescent="0.25">
      <c r="A10" s="14">
        <v>41821</v>
      </c>
      <c r="B10" s="21">
        <v>812345</v>
      </c>
    </row>
    <row r="11" spans="1:2" hidden="1" x14ac:dyDescent="0.25">
      <c r="A11" s="14">
        <v>41852</v>
      </c>
      <c r="B11" s="21">
        <v>799319</v>
      </c>
    </row>
    <row r="12" spans="1:2" hidden="1" x14ac:dyDescent="0.25">
      <c r="A12" s="14">
        <v>41883</v>
      </c>
      <c r="B12" s="21">
        <v>785171</v>
      </c>
    </row>
    <row r="13" spans="1:2" hidden="1" x14ac:dyDescent="0.25">
      <c r="A13" s="14">
        <v>41913</v>
      </c>
      <c r="B13" s="21">
        <v>778469</v>
      </c>
    </row>
    <row r="14" spans="1:2" hidden="1" x14ac:dyDescent="0.25">
      <c r="A14" s="14">
        <v>41944</v>
      </c>
      <c r="B14" s="21">
        <v>778087</v>
      </c>
    </row>
    <row r="15" spans="1:2" hidden="1" x14ac:dyDescent="0.25">
      <c r="A15" s="14">
        <v>41974</v>
      </c>
      <c r="B15" s="21">
        <v>789977</v>
      </c>
    </row>
    <row r="16" spans="1:2" hidden="1" x14ac:dyDescent="0.25">
      <c r="A16" s="14">
        <v>42005</v>
      </c>
      <c r="B16" s="21">
        <v>800922</v>
      </c>
    </row>
    <row r="17" spans="1:2" hidden="1" x14ac:dyDescent="0.25">
      <c r="A17" s="14">
        <v>42036</v>
      </c>
      <c r="B17" s="21">
        <v>804682</v>
      </c>
    </row>
    <row r="18" spans="1:2" hidden="1" x14ac:dyDescent="0.25">
      <c r="A18" s="14">
        <v>42064</v>
      </c>
      <c r="B18" s="21">
        <v>816331</v>
      </c>
    </row>
    <row r="19" spans="1:2" hidden="1" x14ac:dyDescent="0.25">
      <c r="A19" s="14">
        <v>42095</v>
      </c>
      <c r="B19" s="21">
        <v>815868</v>
      </c>
    </row>
    <row r="20" spans="1:2" hidden="1" x14ac:dyDescent="0.25">
      <c r="A20" s="14">
        <v>42125</v>
      </c>
      <c r="B20" s="21">
        <v>820339</v>
      </c>
    </row>
    <row r="21" spans="1:2" hidden="1" x14ac:dyDescent="0.25">
      <c r="A21" s="14">
        <v>42156</v>
      </c>
      <c r="B21" s="21">
        <v>820212</v>
      </c>
    </row>
    <row r="22" spans="1:2" hidden="1" x14ac:dyDescent="0.25">
      <c r="A22" s="14">
        <v>42186</v>
      </c>
      <c r="B22" s="21">
        <v>795054</v>
      </c>
    </row>
    <row r="23" spans="1:2" hidden="1" x14ac:dyDescent="0.25">
      <c r="A23" s="14">
        <v>42217</v>
      </c>
      <c r="B23" s="21">
        <v>780239</v>
      </c>
    </row>
    <row r="24" spans="1:2" hidden="1" x14ac:dyDescent="0.25">
      <c r="A24" s="14">
        <v>42248</v>
      </c>
      <c r="B24" s="21">
        <v>762097</v>
      </c>
    </row>
    <row r="25" spans="1:2" hidden="1" x14ac:dyDescent="0.25">
      <c r="A25" s="14">
        <v>42278</v>
      </c>
      <c r="B25" s="21">
        <v>761254</v>
      </c>
    </row>
    <row r="26" spans="1:2" hidden="1" x14ac:dyDescent="0.25">
      <c r="A26" s="14">
        <v>42309</v>
      </c>
      <c r="B26" s="21">
        <v>761645</v>
      </c>
    </row>
    <row r="27" spans="1:2" hidden="1" x14ac:dyDescent="0.25">
      <c r="A27" s="14">
        <v>42339</v>
      </c>
      <c r="B27" s="21">
        <v>786896</v>
      </c>
    </row>
    <row r="28" spans="1:2" hidden="1" x14ac:dyDescent="0.25">
      <c r="A28" s="14">
        <v>42370</v>
      </c>
      <c r="B28" s="21">
        <v>793935</v>
      </c>
    </row>
    <row r="29" spans="1:2" hidden="1" x14ac:dyDescent="0.25">
      <c r="A29" s="14">
        <v>42401</v>
      </c>
      <c r="B29" s="21">
        <v>799702</v>
      </c>
    </row>
    <row r="30" spans="1:2" hidden="1" x14ac:dyDescent="0.25">
      <c r="A30" s="14">
        <v>42430</v>
      </c>
      <c r="B30" s="21">
        <v>790813</v>
      </c>
    </row>
    <row r="31" spans="1:2" hidden="1" x14ac:dyDescent="0.25">
      <c r="A31" s="14">
        <v>42461</v>
      </c>
      <c r="B31" s="21">
        <v>792531</v>
      </c>
    </row>
    <row r="32" spans="1:2" hidden="1" x14ac:dyDescent="0.25">
      <c r="A32" s="14">
        <v>42491</v>
      </c>
      <c r="B32" s="21">
        <v>802963</v>
      </c>
    </row>
    <row r="33" spans="1:2" hidden="1" x14ac:dyDescent="0.25">
      <c r="A33" s="14">
        <v>42522</v>
      </c>
      <c r="B33" s="21">
        <v>797473</v>
      </c>
    </row>
    <row r="34" spans="1:2" hidden="1" x14ac:dyDescent="0.25">
      <c r="A34" s="14">
        <v>42552</v>
      </c>
      <c r="B34" s="21">
        <v>792802</v>
      </c>
    </row>
    <row r="35" spans="1:2" hidden="1" x14ac:dyDescent="0.25">
      <c r="A35" s="14">
        <v>42583</v>
      </c>
      <c r="B35" s="21">
        <v>785963</v>
      </c>
    </row>
    <row r="36" spans="1:2" hidden="1" x14ac:dyDescent="0.25">
      <c r="A36" s="14">
        <v>42614</v>
      </c>
      <c r="B36" s="21">
        <v>762210</v>
      </c>
    </row>
    <row r="37" spans="1:2" hidden="1" x14ac:dyDescent="0.25">
      <c r="A37" s="14">
        <v>42644</v>
      </c>
      <c r="B37" s="21">
        <v>747401</v>
      </c>
    </row>
    <row r="38" spans="1:2" hidden="1" x14ac:dyDescent="0.25">
      <c r="A38" s="14">
        <v>42675</v>
      </c>
      <c r="B38" s="21">
        <v>755269</v>
      </c>
    </row>
    <row r="39" spans="1:2" hidden="1" x14ac:dyDescent="0.25">
      <c r="A39" s="14">
        <v>42705</v>
      </c>
      <c r="B39" s="21">
        <v>761780</v>
      </c>
    </row>
    <row r="40" spans="1:2" hidden="1" x14ac:dyDescent="0.25">
      <c r="A40" s="14">
        <v>42736</v>
      </c>
      <c r="B40" s="21">
        <v>762667</v>
      </c>
    </row>
    <row r="41" spans="1:2" hidden="1" x14ac:dyDescent="0.25">
      <c r="A41" s="14">
        <v>42767</v>
      </c>
      <c r="B41" s="21">
        <v>763258</v>
      </c>
    </row>
    <row r="42" spans="1:2" hidden="1" x14ac:dyDescent="0.25">
      <c r="A42" s="14">
        <v>42795</v>
      </c>
      <c r="B42" s="21">
        <v>763262</v>
      </c>
    </row>
    <row r="43" spans="1:2" hidden="1" x14ac:dyDescent="0.25">
      <c r="A43" s="14">
        <v>42826</v>
      </c>
      <c r="B43" s="21">
        <v>766764</v>
      </c>
    </row>
    <row r="44" spans="1:2" hidden="1" x14ac:dyDescent="0.25">
      <c r="A44" s="14">
        <v>42856</v>
      </c>
      <c r="B44" s="21">
        <v>779610</v>
      </c>
    </row>
    <row r="45" spans="1:2" hidden="1" x14ac:dyDescent="0.25">
      <c r="A45" s="14">
        <v>42887</v>
      </c>
      <c r="B45" s="21">
        <v>782889</v>
      </c>
    </row>
    <row r="46" spans="1:2" hidden="1" x14ac:dyDescent="0.25">
      <c r="A46" s="14">
        <v>42917</v>
      </c>
      <c r="B46" s="21">
        <v>779199</v>
      </c>
    </row>
    <row r="47" spans="1:2" hidden="1" x14ac:dyDescent="0.25">
      <c r="A47" s="14">
        <v>42948</v>
      </c>
      <c r="B47" s="21">
        <v>774733</v>
      </c>
    </row>
    <row r="48" spans="1:2" hidden="1" x14ac:dyDescent="0.25">
      <c r="A48" s="14">
        <v>42979</v>
      </c>
      <c r="B48" s="21">
        <v>759650</v>
      </c>
    </row>
    <row r="49" spans="1:2" hidden="1" x14ac:dyDescent="0.25">
      <c r="A49" s="14">
        <v>43009</v>
      </c>
      <c r="B49" s="21">
        <v>743257</v>
      </c>
    </row>
    <row r="50" spans="1:2" hidden="1" x14ac:dyDescent="0.25">
      <c r="A50" s="14">
        <v>43040</v>
      </c>
      <c r="B50" s="21">
        <v>743015</v>
      </c>
    </row>
    <row r="51" spans="1:2" hidden="1" x14ac:dyDescent="0.25">
      <c r="A51" s="14">
        <v>43070</v>
      </c>
      <c r="B51" s="21">
        <v>750907</v>
      </c>
    </row>
    <row r="52" spans="1:2" hidden="1" x14ac:dyDescent="0.25">
      <c r="A52" s="14">
        <v>43101</v>
      </c>
      <c r="B52" s="21">
        <v>773205</v>
      </c>
    </row>
    <row r="53" spans="1:2" hidden="1" x14ac:dyDescent="0.25">
      <c r="A53" s="14">
        <v>43132</v>
      </c>
      <c r="B53" s="21">
        <v>758123</v>
      </c>
    </row>
    <row r="54" spans="1:2" hidden="1" x14ac:dyDescent="0.25">
      <c r="A54" s="14">
        <v>43160</v>
      </c>
      <c r="B54" s="21">
        <v>744371</v>
      </c>
    </row>
    <row r="55" spans="1:2" hidden="1" x14ac:dyDescent="0.25">
      <c r="A55" s="14">
        <v>43191</v>
      </c>
      <c r="B55" s="21">
        <v>748937</v>
      </c>
    </row>
    <row r="56" spans="1:2" hidden="1" x14ac:dyDescent="0.25">
      <c r="A56" s="14">
        <v>43221</v>
      </c>
      <c r="B56" s="21">
        <v>747959</v>
      </c>
    </row>
    <row r="57" spans="1:2" hidden="1" x14ac:dyDescent="0.25">
      <c r="A57" s="14">
        <v>43252</v>
      </c>
      <c r="B57" s="21">
        <v>758473</v>
      </c>
    </row>
    <row r="58" spans="1:2" hidden="1" x14ac:dyDescent="0.25">
      <c r="A58" s="14">
        <v>43282</v>
      </c>
      <c r="B58" s="21">
        <v>747016</v>
      </c>
    </row>
    <row r="59" spans="1:2" hidden="1" x14ac:dyDescent="0.25">
      <c r="A59" s="14">
        <v>43313</v>
      </c>
      <c r="B59" s="21">
        <v>739182</v>
      </c>
    </row>
    <row r="60" spans="1:2" hidden="1" x14ac:dyDescent="0.25">
      <c r="A60" s="14">
        <v>43344</v>
      </c>
      <c r="B60" s="21">
        <v>693435</v>
      </c>
    </row>
    <row r="61" spans="1:2" hidden="1" x14ac:dyDescent="0.25">
      <c r="A61" s="14">
        <v>43374</v>
      </c>
      <c r="B61" s="21">
        <v>675235</v>
      </c>
    </row>
    <row r="62" spans="1:2" hidden="1" x14ac:dyDescent="0.25">
      <c r="A62" s="14">
        <v>43405</v>
      </c>
      <c r="B62" s="21">
        <v>668849</v>
      </c>
    </row>
    <row r="63" spans="1:2" hidden="1" x14ac:dyDescent="0.25">
      <c r="A63" s="14">
        <v>43435</v>
      </c>
      <c r="B63" s="21">
        <v>687987</v>
      </c>
    </row>
    <row r="64" spans="1:2" hidden="1" x14ac:dyDescent="0.25">
      <c r="A64" s="14">
        <v>43466</v>
      </c>
      <c r="B64" s="21">
        <v>696400</v>
      </c>
    </row>
    <row r="65" spans="1:2" hidden="1" x14ac:dyDescent="0.25">
      <c r="A65" s="14">
        <v>43497</v>
      </c>
      <c r="B65" s="21">
        <v>698934</v>
      </c>
    </row>
    <row r="66" spans="1:2" hidden="1" x14ac:dyDescent="0.25">
      <c r="A66" s="14">
        <v>43525</v>
      </c>
      <c r="B66" s="21">
        <v>683484</v>
      </c>
    </row>
    <row r="67" spans="1:2" hidden="1" x14ac:dyDescent="0.25">
      <c r="A67" s="14">
        <v>43556</v>
      </c>
      <c r="B67" s="21">
        <v>691729</v>
      </c>
    </row>
    <row r="68" spans="1:2" hidden="1" x14ac:dyDescent="0.25">
      <c r="A68" s="14">
        <v>43586</v>
      </c>
      <c r="B68" s="21">
        <v>695560</v>
      </c>
    </row>
    <row r="69" spans="1:2" hidden="1" x14ac:dyDescent="0.25">
      <c r="A69" s="14">
        <v>43617</v>
      </c>
      <c r="B69" s="21">
        <v>706529</v>
      </c>
    </row>
    <row r="70" spans="1:2" hidden="1" x14ac:dyDescent="0.25">
      <c r="A70" s="14">
        <v>43647</v>
      </c>
      <c r="B70" s="21">
        <v>707535</v>
      </c>
    </row>
    <row r="71" spans="1:2" hidden="1" x14ac:dyDescent="0.25">
      <c r="A71" s="14">
        <v>43678</v>
      </c>
      <c r="B71" s="21">
        <v>689232</v>
      </c>
    </row>
    <row r="72" spans="1:2" hidden="1" x14ac:dyDescent="0.25">
      <c r="A72" s="14">
        <v>43709</v>
      </c>
      <c r="B72" s="21">
        <v>676709</v>
      </c>
    </row>
    <row r="73" spans="1:2" hidden="1" x14ac:dyDescent="0.25">
      <c r="A73" s="14">
        <v>43739</v>
      </c>
      <c r="B73" s="21">
        <v>676034</v>
      </c>
    </row>
    <row r="74" spans="1:2" hidden="1" x14ac:dyDescent="0.25">
      <c r="A74" s="14">
        <v>43770</v>
      </c>
      <c r="B74" s="21">
        <v>671985</v>
      </c>
    </row>
    <row r="75" spans="1:2" hidden="1" x14ac:dyDescent="0.25">
      <c r="A75" s="14">
        <v>43800</v>
      </c>
      <c r="B75" s="21">
        <v>675685</v>
      </c>
    </row>
    <row r="76" spans="1:2" hidden="1" x14ac:dyDescent="0.25">
      <c r="A76" s="14">
        <v>43831</v>
      </c>
      <c r="B76" s="21">
        <v>683897</v>
      </c>
    </row>
    <row r="77" spans="1:2" hidden="1" x14ac:dyDescent="0.25">
      <c r="A77" s="14">
        <v>43862</v>
      </c>
      <c r="B77" s="21">
        <v>677438</v>
      </c>
    </row>
    <row r="78" spans="1:2" hidden="1" x14ac:dyDescent="0.25">
      <c r="A78" s="14">
        <v>43891</v>
      </c>
      <c r="B78" s="21">
        <v>676377</v>
      </c>
    </row>
    <row r="79" spans="1:2" hidden="1" x14ac:dyDescent="0.25">
      <c r="A79" s="14">
        <v>43922</v>
      </c>
      <c r="B79" s="21">
        <v>674618</v>
      </c>
    </row>
    <row r="80" spans="1:2" hidden="1" x14ac:dyDescent="0.25">
      <c r="A80" s="14">
        <v>43952</v>
      </c>
      <c r="B80" s="21">
        <v>681583</v>
      </c>
    </row>
    <row r="81" spans="1:2" hidden="1" x14ac:dyDescent="0.25">
      <c r="A81" s="14">
        <v>43983</v>
      </c>
      <c r="B81" s="21">
        <v>682114</v>
      </c>
    </row>
    <row r="82" spans="1:2" hidden="1" x14ac:dyDescent="0.25">
      <c r="A82" s="14">
        <v>44013</v>
      </c>
      <c r="B82" s="21">
        <v>685465</v>
      </c>
    </row>
    <row r="83" spans="1:2" hidden="1" x14ac:dyDescent="0.25">
      <c r="A83" s="14">
        <v>44044</v>
      </c>
      <c r="B83" s="21">
        <v>671408</v>
      </c>
    </row>
    <row r="84" spans="1:2" hidden="1" x14ac:dyDescent="0.25">
      <c r="A84" s="14">
        <v>44075</v>
      </c>
      <c r="B84" s="21">
        <v>664812</v>
      </c>
    </row>
    <row r="85" spans="1:2" hidden="1" x14ac:dyDescent="0.25">
      <c r="A85" s="14">
        <v>44105</v>
      </c>
      <c r="B85" s="21">
        <v>650802</v>
      </c>
    </row>
    <row r="86" spans="1:2" hidden="1" x14ac:dyDescent="0.25">
      <c r="A86" s="14">
        <v>44136</v>
      </c>
      <c r="B86" s="21">
        <v>651769</v>
      </c>
    </row>
    <row r="87" spans="1:2" hidden="1" x14ac:dyDescent="0.25">
      <c r="A87" s="14">
        <v>44166</v>
      </c>
      <c r="B87" s="21">
        <v>657644</v>
      </c>
    </row>
    <row r="88" spans="1:2" x14ac:dyDescent="0.25">
      <c r="A88" s="14">
        <v>44197</v>
      </c>
      <c r="B88" s="21">
        <v>655449</v>
      </c>
    </row>
    <row r="89" spans="1:2" x14ac:dyDescent="0.25">
      <c r="A89" s="14">
        <v>44228</v>
      </c>
      <c r="B89" s="21">
        <v>654544</v>
      </c>
    </row>
    <row r="90" spans="1:2" x14ac:dyDescent="0.25">
      <c r="A90" s="14">
        <v>44256</v>
      </c>
      <c r="B90" s="21">
        <v>648296</v>
      </c>
    </row>
    <row r="91" spans="1:2" x14ac:dyDescent="0.25">
      <c r="A91" s="14">
        <v>44287</v>
      </c>
      <c r="B91" s="21">
        <v>657498</v>
      </c>
    </row>
    <row r="92" spans="1:2" x14ac:dyDescent="0.25">
      <c r="A92" s="14">
        <v>44317</v>
      </c>
      <c r="B92" s="21">
        <v>658855</v>
      </c>
    </row>
    <row r="93" spans="1:2" x14ac:dyDescent="0.25">
      <c r="A93" s="14">
        <v>44348</v>
      </c>
      <c r="B93" s="21">
        <v>655997</v>
      </c>
    </row>
    <row r="94" spans="1:2" x14ac:dyDescent="0.25">
      <c r="A94" s="14">
        <v>44378</v>
      </c>
      <c r="B94" s="21">
        <v>652667</v>
      </c>
    </row>
    <row r="95" spans="1:2" x14ac:dyDescent="0.25">
      <c r="A95" s="14">
        <v>44409</v>
      </c>
      <c r="B95" s="21">
        <v>645710</v>
      </c>
    </row>
    <row r="96" spans="1:2" x14ac:dyDescent="0.25">
      <c r="A96" s="14">
        <v>44440</v>
      </c>
      <c r="B96" s="21">
        <v>629884</v>
      </c>
    </row>
    <row r="97" spans="1:2" x14ac:dyDescent="0.25">
      <c r="A97" s="14">
        <v>44470</v>
      </c>
      <c r="B97" s="21">
        <v>627907</v>
      </c>
    </row>
    <row r="98" spans="1:2" x14ac:dyDescent="0.25">
      <c r="A98" s="14">
        <v>44501</v>
      </c>
      <c r="B98" s="21">
        <v>616431</v>
      </c>
    </row>
    <row r="99" spans="1:2" x14ac:dyDescent="0.25">
      <c r="A99" s="14">
        <v>44531</v>
      </c>
      <c r="B99" s="21">
        <v>607477</v>
      </c>
    </row>
    <row r="100" spans="1:2" x14ac:dyDescent="0.25">
      <c r="A100" s="14">
        <v>44562</v>
      </c>
      <c r="B100" s="21">
        <v>614421</v>
      </c>
    </row>
    <row r="101" spans="1:2" x14ac:dyDescent="0.25">
      <c r="A101" s="14">
        <v>44593</v>
      </c>
      <c r="B101" s="21">
        <v>614525</v>
      </c>
    </row>
    <row r="102" spans="1:2" x14ac:dyDescent="0.25">
      <c r="A102" s="14">
        <v>44621</v>
      </c>
      <c r="B102" s="21">
        <v>608875</v>
      </c>
    </row>
    <row r="103" spans="1:2" x14ac:dyDescent="0.25">
      <c r="A103" s="14">
        <v>44652</v>
      </c>
      <c r="B103" s="21">
        <v>606697</v>
      </c>
    </row>
    <row r="104" spans="1:2" x14ac:dyDescent="0.25">
      <c r="A104" s="14">
        <v>44682</v>
      </c>
      <c r="B104" s="21">
        <v>610112</v>
      </c>
    </row>
    <row r="105" spans="1:2" x14ac:dyDescent="0.25">
      <c r="A105" s="14">
        <v>44713</v>
      </c>
      <c r="B105" s="21">
        <v>595611</v>
      </c>
    </row>
    <row r="106" spans="1:2" x14ac:dyDescent="0.25">
      <c r="A106" s="14">
        <v>44743</v>
      </c>
      <c r="B106" s="21">
        <v>591872</v>
      </c>
    </row>
    <row r="107" spans="1:2" x14ac:dyDescent="0.25">
      <c r="A107" s="14">
        <v>44774</v>
      </c>
      <c r="B107" s="21">
        <v>590610</v>
      </c>
    </row>
    <row r="108" spans="1:2" x14ac:dyDescent="0.25">
      <c r="A108" s="14">
        <v>44805</v>
      </c>
      <c r="B108" s="21">
        <v>584761</v>
      </c>
    </row>
    <row r="109" spans="1:2" x14ac:dyDescent="0.25">
      <c r="A109" s="14">
        <v>44835</v>
      </c>
      <c r="B109" s="21">
        <v>564896</v>
      </c>
    </row>
    <row r="110" spans="1:2" x14ac:dyDescent="0.25">
      <c r="A110" s="14">
        <v>44866</v>
      </c>
      <c r="B110" s="21">
        <v>550180</v>
      </c>
    </row>
    <row r="111" spans="1:2" x14ac:dyDescent="0.25">
      <c r="A111" s="14">
        <v>44896</v>
      </c>
      <c r="B111" s="21">
        <v>551988</v>
      </c>
    </row>
    <row r="112" spans="1:2" x14ac:dyDescent="0.25">
      <c r="A112" s="14">
        <v>44927</v>
      </c>
      <c r="B112" s="21">
        <v>562899</v>
      </c>
    </row>
    <row r="113" spans="1:2" x14ac:dyDescent="0.25">
      <c r="A113" s="14">
        <v>44958</v>
      </c>
      <c r="B113" s="21">
        <v>572837</v>
      </c>
    </row>
    <row r="114" spans="1:2" x14ac:dyDescent="0.25">
      <c r="A114" s="14">
        <v>44986</v>
      </c>
      <c r="B114" s="21">
        <v>577988</v>
      </c>
    </row>
    <row r="115" spans="1:2" x14ac:dyDescent="0.25">
      <c r="A115" s="14">
        <v>45017</v>
      </c>
      <c r="B115" s="21">
        <v>585836</v>
      </c>
    </row>
    <row r="116" spans="1:2" x14ac:dyDescent="0.25">
      <c r="A116" s="14">
        <v>45047</v>
      </c>
      <c r="B116" s="21">
        <v>581573</v>
      </c>
    </row>
    <row r="117" spans="1:2" x14ac:dyDescent="0.25">
      <c r="A117" s="14">
        <v>45078</v>
      </c>
      <c r="B117" s="21">
        <v>576394</v>
      </c>
    </row>
    <row r="118" spans="1:2" x14ac:dyDescent="0.25">
      <c r="A118" s="14">
        <v>45108</v>
      </c>
      <c r="B118" s="21">
        <v>566255</v>
      </c>
    </row>
    <row r="119" spans="1:2" x14ac:dyDescent="0.25">
      <c r="A119" s="14">
        <v>45139</v>
      </c>
      <c r="B119" s="21">
        <v>550569</v>
      </c>
    </row>
    <row r="120" spans="1:2" x14ac:dyDescent="0.25">
      <c r="A120" s="14">
        <v>45170</v>
      </c>
      <c r="B120" s="21">
        <v>536591</v>
      </c>
    </row>
    <row r="121" spans="1:2" x14ac:dyDescent="0.25">
      <c r="A121" s="14">
        <v>45200</v>
      </c>
      <c r="B121" s="21">
        <v>521869</v>
      </c>
    </row>
    <row r="122" spans="1:2" x14ac:dyDescent="0.25">
      <c r="A122" s="14">
        <v>45231</v>
      </c>
      <c r="B122" s="21">
        <v>526156</v>
      </c>
    </row>
    <row r="123" spans="1:2" x14ac:dyDescent="0.25">
      <c r="A123" s="14">
        <v>45261</v>
      </c>
      <c r="B123" s="21">
        <v>535434</v>
      </c>
    </row>
    <row r="124" spans="1:2" x14ac:dyDescent="0.25">
      <c r="A124" s="14">
        <v>45292</v>
      </c>
      <c r="B124" s="21">
        <v>541986</v>
      </c>
    </row>
    <row r="125" spans="1:2" x14ac:dyDescent="0.25">
      <c r="A125" s="14">
        <v>45323</v>
      </c>
      <c r="B125" s="21">
        <v>545070</v>
      </c>
    </row>
    <row r="126" spans="1:2" x14ac:dyDescent="0.25">
      <c r="A126" s="14">
        <v>45352</v>
      </c>
      <c r="B126" s="21">
        <v>540691</v>
      </c>
    </row>
    <row r="127" spans="1:2" x14ac:dyDescent="0.25">
      <c r="A127" s="14">
        <v>45383</v>
      </c>
      <c r="B127" s="21">
        <v>537750</v>
      </c>
    </row>
    <row r="128" spans="1:2" x14ac:dyDescent="0.25">
      <c r="A128" s="14">
        <v>45413</v>
      </c>
      <c r="B128" s="21">
        <v>532803</v>
      </c>
    </row>
    <row r="129" spans="1:2" x14ac:dyDescent="0.25">
      <c r="A129" s="14">
        <v>45444</v>
      </c>
      <c r="B129" s="21">
        <v>529125</v>
      </c>
    </row>
    <row r="130" spans="1:2" x14ac:dyDescent="0.25">
      <c r="A130" s="14">
        <v>45474</v>
      </c>
      <c r="B130" s="21">
        <v>527724</v>
      </c>
    </row>
    <row r="131" spans="1:2" x14ac:dyDescent="0.25">
      <c r="A131" s="14">
        <v>45505</v>
      </c>
      <c r="B131" s="21">
        <v>504387</v>
      </c>
    </row>
    <row r="132" spans="1:2" x14ac:dyDescent="0.25">
      <c r="A132" s="14">
        <v>45536</v>
      </c>
      <c r="B132" s="21">
        <v>505714</v>
      </c>
    </row>
    <row r="133" spans="1:2" x14ac:dyDescent="0.25">
      <c r="A133" s="14">
        <v>45566</v>
      </c>
      <c r="B133" s="21">
        <v>501102</v>
      </c>
    </row>
    <row r="134" spans="1:2" x14ac:dyDescent="0.25">
      <c r="A134" s="14">
        <v>45597</v>
      </c>
      <c r="B134" s="21">
        <v>499886</v>
      </c>
    </row>
    <row r="135" spans="1:2" x14ac:dyDescent="0.25">
      <c r="A135" s="14">
        <v>45627</v>
      </c>
      <c r="B135" s="21">
        <v>517303</v>
      </c>
    </row>
    <row r="136" spans="1:2" x14ac:dyDescent="0.25">
      <c r="A136" s="14">
        <v>45658</v>
      </c>
      <c r="B136" s="21">
        <v>520574</v>
      </c>
    </row>
    <row r="137" spans="1:2" x14ac:dyDescent="0.25">
      <c r="A137" s="14">
        <v>45689</v>
      </c>
      <c r="B137" s="21">
        <v>514814</v>
      </c>
    </row>
    <row r="138" spans="1:2" x14ac:dyDescent="0.25">
      <c r="A138" s="14">
        <v>45717</v>
      </c>
      <c r="B138" s="21">
        <v>515407</v>
      </c>
    </row>
    <row r="139" spans="1:2" x14ac:dyDescent="0.25">
      <c r="A139" s="14">
        <v>45748</v>
      </c>
      <c r="B139" s="21">
        <v>512681</v>
      </c>
    </row>
    <row r="140" spans="1:2" x14ac:dyDescent="0.25">
      <c r="A140" s="14">
        <v>45778</v>
      </c>
      <c r="B140" s="21">
        <v>517315</v>
      </c>
    </row>
    <row r="141" spans="1:2" x14ac:dyDescent="0.25">
      <c r="A141" s="14">
        <v>45809</v>
      </c>
      <c r="B141" s="21">
        <v>514782</v>
      </c>
    </row>
    <row r="142" spans="1:2" x14ac:dyDescent="0.25">
      <c r="A142" s="14">
        <v>45839</v>
      </c>
      <c r="B142" s="21">
        <v>514831</v>
      </c>
    </row>
    <row r="143" spans="1:2" x14ac:dyDescent="0.25">
      <c r="A143" s="14">
        <v>45870</v>
      </c>
      <c r="B143" s="21">
        <v>499455</v>
      </c>
    </row>
    <row r="144" spans="1:2" x14ac:dyDescent="0.25">
      <c r="A144" s="14">
        <v>45901</v>
      </c>
      <c r="B144" s="21">
        <v>493607</v>
      </c>
    </row>
    <row r="145" spans="1:6" x14ac:dyDescent="0.25">
      <c r="A145" s="14"/>
      <c r="B145" s="21"/>
    </row>
    <row r="146" spans="1:6" x14ac:dyDescent="0.25">
      <c r="A146" s="14"/>
      <c r="B146" s="21"/>
    </row>
    <row r="147" spans="1:6" x14ac:dyDescent="0.25">
      <c r="A147" s="14"/>
      <c r="B147" s="21"/>
    </row>
    <row r="148" spans="1:6" ht="45" x14ac:dyDescent="0.25">
      <c r="A148" s="27" t="str">
        <f>Pooling_Month</f>
        <v>November 2025</v>
      </c>
      <c r="B148" s="20" t="s">
        <v>67</v>
      </c>
    </row>
    <row r="149" spans="1:6" x14ac:dyDescent="0.25">
      <c r="A149" s="31" t="s">
        <v>60</v>
      </c>
      <c r="B149" s="33">
        <f>B155</f>
        <v>487779</v>
      </c>
    </row>
    <row r="150" spans="1:6" x14ac:dyDescent="0.25">
      <c r="B150" s="267"/>
    </row>
    <row r="151" spans="1:6" ht="17.25" hidden="1" customHeight="1" x14ac:dyDescent="0.25"/>
    <row r="152" spans="1:6" hidden="1" x14ac:dyDescent="0.25"/>
    <row r="153" spans="1:6" ht="30" hidden="1" x14ac:dyDescent="0.25">
      <c r="A153" s="40" t="s">
        <v>214</v>
      </c>
      <c r="B153" s="217">
        <f>B134-B132</f>
        <v>-5828</v>
      </c>
      <c r="D153" t="s">
        <v>190</v>
      </c>
    </row>
    <row r="154" spans="1:6" hidden="1" x14ac:dyDescent="0.25">
      <c r="A154" s="93" t="s">
        <v>215</v>
      </c>
      <c r="B154" s="94">
        <f>B144</f>
        <v>493607</v>
      </c>
    </row>
    <row r="155" spans="1:6" hidden="1" x14ac:dyDescent="0.25">
      <c r="A155" s="269" t="s">
        <v>211</v>
      </c>
      <c r="B155" s="94">
        <f>SUM(B153:B154)</f>
        <v>487779</v>
      </c>
      <c r="C155" s="101"/>
      <c r="D155" s="101"/>
    </row>
    <row r="156" spans="1:6" hidden="1" x14ac:dyDescent="0.25">
      <c r="A156" s="92" t="s">
        <v>206</v>
      </c>
      <c r="B156" s="94">
        <f>B134</f>
        <v>499886</v>
      </c>
      <c r="C156" s="101"/>
      <c r="D156" s="101"/>
    </row>
    <row r="157" spans="1:6" hidden="1" x14ac:dyDescent="0.25">
      <c r="A157" t="s">
        <v>83</v>
      </c>
      <c r="B157" s="94">
        <f>AVERAGE(B155:B156)</f>
        <v>493832.5</v>
      </c>
      <c r="D157" s="101"/>
    </row>
    <row r="158" spans="1:6" x14ac:dyDescent="0.25">
      <c r="D158" s="101"/>
    </row>
    <row r="159" spans="1:6" x14ac:dyDescent="0.25">
      <c r="A159" s="92"/>
      <c r="D159" s="101"/>
      <c r="E159" s="94"/>
      <c r="F159" s="94"/>
    </row>
    <row r="160" spans="1:6" x14ac:dyDescent="0.25">
      <c r="A160" s="91"/>
    </row>
    <row r="161" spans="1:1" x14ac:dyDescent="0.25">
      <c r="A161" s="40"/>
    </row>
    <row r="162" spans="1:1" x14ac:dyDescent="0.25">
      <c r="A162" s="40"/>
    </row>
  </sheetData>
  <sheetProtection algorithmName="SHA-512" hashValue="TIh7zpsNo9ATZ9j2Wd7J0vripX7HWNerIEbfhCjpgLg4WOH9qGEfw4iDFaVJjR7gtI5ScIPRX+NcU3KmwhX8aw==" saltValue="sUBRfCuoWx6/Jqc5jYn0jQ==" spinCount="100000" sheet="1" objects="1" scenarios="1"/>
  <pageMargins left="0.7" right="0.7"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39997558519241921"/>
  </sheetPr>
  <dimension ref="A1:E170"/>
  <sheetViews>
    <sheetView topLeftCell="A131" workbookViewId="0">
      <selection activeCell="K140" sqref="K140"/>
    </sheetView>
  </sheetViews>
  <sheetFormatPr defaultRowHeight="15" x14ac:dyDescent="0.25"/>
  <cols>
    <col min="1" max="1" width="26.28515625" customWidth="1"/>
    <col min="2" max="2" width="16.140625" customWidth="1"/>
  </cols>
  <sheetData>
    <row r="1" spans="1:2" ht="60" x14ac:dyDescent="0.25">
      <c r="A1" s="20" t="s">
        <v>0</v>
      </c>
      <c r="B1" s="29" t="s">
        <v>70</v>
      </c>
    </row>
    <row r="2" spans="1:2" hidden="1" x14ac:dyDescent="0.25">
      <c r="A2" s="14">
        <v>41579</v>
      </c>
      <c r="B2" s="25">
        <v>3.5638999999999997E-2</v>
      </c>
    </row>
    <row r="3" spans="1:2" hidden="1" x14ac:dyDescent="0.25">
      <c r="A3" s="14">
        <v>41609</v>
      </c>
      <c r="B3" s="25">
        <v>4.394E-2</v>
      </c>
    </row>
    <row r="4" spans="1:2" hidden="1" x14ac:dyDescent="0.25">
      <c r="A4" s="14">
        <v>41640</v>
      </c>
      <c r="B4" s="25">
        <v>5.9451999999999998E-2</v>
      </c>
    </row>
    <row r="5" spans="1:2" hidden="1" x14ac:dyDescent="0.25">
      <c r="A5" s="14">
        <v>41671</v>
      </c>
      <c r="B5" s="25">
        <v>5.6061E-2</v>
      </c>
    </row>
    <row r="6" spans="1:2" hidden="1" x14ac:dyDescent="0.25">
      <c r="A6" s="14">
        <v>41699</v>
      </c>
      <c r="B6" s="25">
        <v>5.2576999999999999E-2</v>
      </c>
    </row>
    <row r="7" spans="1:2" hidden="1" x14ac:dyDescent="0.25">
      <c r="A7" s="14">
        <v>41730</v>
      </c>
      <c r="B7" s="25">
        <v>5.5563000000000001E-2</v>
      </c>
    </row>
    <row r="8" spans="1:2" hidden="1" x14ac:dyDescent="0.25">
      <c r="A8" s="14">
        <v>41760</v>
      </c>
      <c r="B8" s="25">
        <v>6.6798999999999997E-2</v>
      </c>
    </row>
    <row r="9" spans="1:2" hidden="1" x14ac:dyDescent="0.25">
      <c r="A9" s="14">
        <v>41791</v>
      </c>
      <c r="B9" s="25">
        <v>7.8812999999999994E-2</v>
      </c>
    </row>
    <row r="10" spans="1:2" hidden="1" x14ac:dyDescent="0.25">
      <c r="A10" s="14">
        <v>41821</v>
      </c>
      <c r="B10" s="25">
        <v>7.2008000000000003E-2</v>
      </c>
    </row>
    <row r="11" spans="1:2" hidden="1" x14ac:dyDescent="0.25">
      <c r="A11" s="14">
        <v>41852</v>
      </c>
      <c r="B11" s="25">
        <v>6.5037999999999999E-2</v>
      </c>
    </row>
    <row r="12" spans="1:2" hidden="1" x14ac:dyDescent="0.25">
      <c r="A12" s="14">
        <v>41883</v>
      </c>
      <c r="B12" s="25">
        <v>5.4698999999999998E-2</v>
      </c>
    </row>
    <row r="13" spans="1:2" hidden="1" x14ac:dyDescent="0.25">
      <c r="A13" s="14">
        <v>41913</v>
      </c>
      <c r="B13" s="25">
        <v>5.6087999999999999E-2</v>
      </c>
    </row>
    <row r="14" spans="1:2" hidden="1" x14ac:dyDescent="0.25">
      <c r="A14" s="14">
        <v>41944</v>
      </c>
      <c r="B14" s="25">
        <v>4.5608999999999997E-2</v>
      </c>
    </row>
    <row r="15" spans="1:2" hidden="1" x14ac:dyDescent="0.25">
      <c r="A15" s="14">
        <v>41974</v>
      </c>
      <c r="B15" s="25">
        <v>5.2464999999999998E-2</v>
      </c>
    </row>
    <row r="16" spans="1:2" hidden="1" x14ac:dyDescent="0.25">
      <c r="A16" s="14">
        <v>42005</v>
      </c>
      <c r="B16" s="25">
        <v>6.0063999999999999E-2</v>
      </c>
    </row>
    <row r="17" spans="1:2" hidden="1" x14ac:dyDescent="0.25">
      <c r="A17" s="14">
        <v>42036</v>
      </c>
      <c r="B17" s="25">
        <v>6.1749999999999999E-2</v>
      </c>
    </row>
    <row r="18" spans="1:2" hidden="1" x14ac:dyDescent="0.25">
      <c r="A18" s="14">
        <v>42064</v>
      </c>
      <c r="B18" s="25">
        <v>5.5175000000000002E-2</v>
      </c>
    </row>
    <row r="19" spans="1:2" hidden="1" x14ac:dyDescent="0.25">
      <c r="A19" s="14">
        <v>42095</v>
      </c>
      <c r="B19" s="25">
        <v>6.6474000000000005E-2</v>
      </c>
    </row>
    <row r="20" spans="1:2" hidden="1" x14ac:dyDescent="0.25">
      <c r="A20" s="14">
        <v>42125</v>
      </c>
      <c r="B20" s="25">
        <v>7.3679999999999995E-2</v>
      </c>
    </row>
    <row r="21" spans="1:2" hidden="1" x14ac:dyDescent="0.25">
      <c r="A21" s="14">
        <v>42156</v>
      </c>
      <c r="B21" s="25">
        <v>7.2096999999999994E-2</v>
      </c>
    </row>
    <row r="22" spans="1:2" hidden="1" x14ac:dyDescent="0.25">
      <c r="A22" s="14">
        <v>42186</v>
      </c>
      <c r="B22" s="25">
        <v>5.8506000000000002E-2</v>
      </c>
    </row>
    <row r="23" spans="1:2" hidden="1" x14ac:dyDescent="0.25">
      <c r="A23" s="14">
        <v>42217</v>
      </c>
      <c r="B23" s="25">
        <v>5.2084999999999999E-2</v>
      </c>
    </row>
    <row r="24" spans="1:2" hidden="1" x14ac:dyDescent="0.25">
      <c r="A24" s="14">
        <v>42248</v>
      </c>
      <c r="B24" s="25">
        <v>4.2168999999999998E-2</v>
      </c>
    </row>
    <row r="25" spans="1:2" hidden="1" x14ac:dyDescent="0.25">
      <c r="A25" s="14">
        <v>42278</v>
      </c>
      <c r="B25" s="25">
        <v>4.4915999999999998E-2</v>
      </c>
    </row>
    <row r="26" spans="1:2" hidden="1" x14ac:dyDescent="0.25">
      <c r="A26" s="14">
        <v>42309</v>
      </c>
      <c r="B26" s="25">
        <v>4.7728E-2</v>
      </c>
    </row>
    <row r="27" spans="1:2" hidden="1" x14ac:dyDescent="0.25">
      <c r="A27" s="14">
        <v>42339</v>
      </c>
      <c r="B27" s="25">
        <v>5.6321999999999997E-2</v>
      </c>
    </row>
    <row r="28" spans="1:2" hidden="1" x14ac:dyDescent="0.25">
      <c r="A28" s="14">
        <v>42370</v>
      </c>
      <c r="B28" s="25">
        <v>5.1228000000000003E-2</v>
      </c>
    </row>
    <row r="29" spans="1:2" hidden="1" x14ac:dyDescent="0.25">
      <c r="A29" s="14">
        <v>42401</v>
      </c>
      <c r="B29" s="25">
        <v>5.0070000000000003E-2</v>
      </c>
    </row>
    <row r="30" spans="1:2" hidden="1" x14ac:dyDescent="0.25">
      <c r="A30" s="14">
        <v>42430</v>
      </c>
      <c r="B30" s="25">
        <v>3.7915999999999998E-2</v>
      </c>
    </row>
    <row r="31" spans="1:2" hidden="1" x14ac:dyDescent="0.25">
      <c r="A31" s="14">
        <v>42461</v>
      </c>
      <c r="B31" s="25">
        <v>4.3702999999999999E-2</v>
      </c>
    </row>
    <row r="32" spans="1:2" hidden="1" x14ac:dyDescent="0.25">
      <c r="A32" s="14">
        <v>42491</v>
      </c>
      <c r="B32" s="25">
        <v>5.2204E-2</v>
      </c>
    </row>
    <row r="33" spans="1:2" hidden="1" x14ac:dyDescent="0.25">
      <c r="A33" s="14">
        <v>42522</v>
      </c>
      <c r="B33" s="25">
        <v>5.2576999999999999E-2</v>
      </c>
    </row>
    <row r="34" spans="1:2" hidden="1" x14ac:dyDescent="0.25">
      <c r="A34" s="14">
        <v>42552</v>
      </c>
      <c r="B34" s="25">
        <v>5.8014000000000003E-2</v>
      </c>
    </row>
    <row r="35" spans="1:2" hidden="1" x14ac:dyDescent="0.25">
      <c r="A35" s="14">
        <v>42583</v>
      </c>
      <c r="B35" s="25">
        <v>5.2872000000000002E-2</v>
      </c>
    </row>
    <row r="36" spans="1:2" hidden="1" x14ac:dyDescent="0.25">
      <c r="A36" s="14">
        <v>42614</v>
      </c>
      <c r="B36" s="25">
        <v>4.3313999999999998E-2</v>
      </c>
    </row>
    <row r="37" spans="1:2" hidden="1" x14ac:dyDescent="0.25">
      <c r="A37" s="14">
        <v>42644</v>
      </c>
      <c r="B37" s="25">
        <v>3.8990999999999998E-2</v>
      </c>
    </row>
    <row r="38" spans="1:2" hidden="1" x14ac:dyDescent="0.25">
      <c r="A38" s="14">
        <v>42675</v>
      </c>
      <c r="B38" s="25">
        <v>3.6156000000000001E-2</v>
      </c>
    </row>
    <row r="39" spans="1:2" hidden="1" x14ac:dyDescent="0.25">
      <c r="A39" s="14">
        <v>42705</v>
      </c>
      <c r="B39" s="25">
        <v>3.5286999999999999E-2</v>
      </c>
    </row>
    <row r="40" spans="1:2" hidden="1" x14ac:dyDescent="0.25">
      <c r="A40" s="14">
        <v>42736</v>
      </c>
      <c r="B40" s="25">
        <v>3.4516999999999999E-2</v>
      </c>
    </row>
    <row r="41" spans="1:2" hidden="1" x14ac:dyDescent="0.25">
      <c r="A41" s="14">
        <v>42767</v>
      </c>
      <c r="B41" s="25">
        <v>3.2278000000000001E-2</v>
      </c>
    </row>
    <row r="42" spans="1:2" hidden="1" x14ac:dyDescent="0.25">
      <c r="A42" s="14">
        <v>42795</v>
      </c>
      <c r="B42" s="25">
        <v>3.3904999999999998E-2</v>
      </c>
    </row>
    <row r="43" spans="1:2" hidden="1" x14ac:dyDescent="0.25">
      <c r="A43" s="14">
        <v>42826</v>
      </c>
      <c r="B43" s="25">
        <v>3.1236E-2</v>
      </c>
    </row>
    <row r="44" spans="1:2" hidden="1" x14ac:dyDescent="0.25">
      <c r="A44" s="14">
        <v>42856</v>
      </c>
      <c r="B44" s="25">
        <v>3.7967000000000001E-2</v>
      </c>
    </row>
    <row r="45" spans="1:2" hidden="1" x14ac:dyDescent="0.25">
      <c r="A45" s="14">
        <v>42887</v>
      </c>
      <c r="B45" s="25">
        <v>4.5339999999999998E-2</v>
      </c>
    </row>
    <row r="46" spans="1:2" hidden="1" x14ac:dyDescent="0.25">
      <c r="A46" s="14">
        <v>42917</v>
      </c>
      <c r="B46" s="25">
        <v>4.9384999999999998E-2</v>
      </c>
    </row>
    <row r="47" spans="1:2" hidden="1" x14ac:dyDescent="0.25">
      <c r="A47" s="14">
        <v>42948</v>
      </c>
      <c r="B47" s="25">
        <v>5.0422000000000002E-2</v>
      </c>
    </row>
    <row r="48" spans="1:2" hidden="1" x14ac:dyDescent="0.25">
      <c r="A48" s="14">
        <v>42979</v>
      </c>
      <c r="B48" s="25">
        <v>4.1014000000000002E-2</v>
      </c>
    </row>
    <row r="49" spans="1:2" hidden="1" x14ac:dyDescent="0.25">
      <c r="A49" s="14">
        <v>43009</v>
      </c>
      <c r="B49" s="25">
        <v>3.1725999999999997E-2</v>
      </c>
    </row>
    <row r="50" spans="1:2" hidden="1" x14ac:dyDescent="0.25">
      <c r="A50" s="14">
        <v>43040</v>
      </c>
      <c r="B50" s="25">
        <v>3.1650999999999999E-2</v>
      </c>
    </row>
    <row r="51" spans="1:2" hidden="1" x14ac:dyDescent="0.25">
      <c r="A51" s="14">
        <v>43070</v>
      </c>
      <c r="B51" s="25">
        <v>3.4349999999999999E-2</v>
      </c>
    </row>
    <row r="52" spans="1:2" hidden="1" x14ac:dyDescent="0.25">
      <c r="A52" s="14">
        <v>43101</v>
      </c>
      <c r="B52" s="25">
        <v>3.8205999999999997E-2</v>
      </c>
    </row>
    <row r="53" spans="1:2" hidden="1" x14ac:dyDescent="0.25">
      <c r="A53" s="14">
        <v>43132</v>
      </c>
      <c r="B53" s="25">
        <v>3.3753999999999999E-2</v>
      </c>
    </row>
    <row r="54" spans="1:2" hidden="1" x14ac:dyDescent="0.25">
      <c r="A54" s="14">
        <v>43160</v>
      </c>
      <c r="B54" s="25">
        <v>3.0027999999999999E-2</v>
      </c>
    </row>
    <row r="55" spans="1:2" hidden="1" x14ac:dyDescent="0.25">
      <c r="A55" s="14">
        <v>43191</v>
      </c>
      <c r="B55" s="25">
        <v>2.4284E-2</v>
      </c>
    </row>
    <row r="56" spans="1:2" hidden="1" x14ac:dyDescent="0.25">
      <c r="A56" s="14">
        <v>43221</v>
      </c>
      <c r="B56" s="25">
        <v>3.3898999999999999E-2</v>
      </c>
    </row>
    <row r="57" spans="1:2" hidden="1" x14ac:dyDescent="0.25">
      <c r="A57" s="14">
        <v>43252</v>
      </c>
      <c r="B57" s="25">
        <v>3.8705000000000003E-2</v>
      </c>
    </row>
    <row r="58" spans="1:2" hidden="1" x14ac:dyDescent="0.25">
      <c r="A58" s="14">
        <v>43282</v>
      </c>
      <c r="B58" s="25">
        <v>3.6927000000000001E-2</v>
      </c>
    </row>
    <row r="59" spans="1:2" hidden="1" x14ac:dyDescent="0.25">
      <c r="A59" s="14">
        <v>43313</v>
      </c>
      <c r="B59" s="25">
        <v>2.6554000000000001E-2</v>
      </c>
    </row>
    <row r="60" spans="1:2" hidden="1" x14ac:dyDescent="0.25">
      <c r="A60" s="14">
        <v>43344</v>
      </c>
      <c r="B60" s="25">
        <v>1.5944E-2</v>
      </c>
    </row>
    <row r="61" spans="1:2" hidden="1" x14ac:dyDescent="0.25">
      <c r="A61" s="14">
        <v>43374</v>
      </c>
      <c r="B61" s="25">
        <v>1.0083E-2</v>
      </c>
    </row>
    <row r="62" spans="1:2" hidden="1" x14ac:dyDescent="0.25">
      <c r="A62" s="14">
        <v>43405</v>
      </c>
      <c r="B62" s="25">
        <v>8.548E-3</v>
      </c>
    </row>
    <row r="63" spans="1:2" hidden="1" x14ac:dyDescent="0.25">
      <c r="A63" s="14">
        <v>43435</v>
      </c>
      <c r="B63" s="25">
        <v>1.5037999999999999E-2</v>
      </c>
    </row>
    <row r="64" spans="1:2" hidden="1" x14ac:dyDescent="0.25">
      <c r="A64" s="14">
        <v>43466</v>
      </c>
      <c r="B64" s="25">
        <v>1.8364999999999999E-2</v>
      </c>
    </row>
    <row r="65" spans="1:2" hidden="1" x14ac:dyDescent="0.25">
      <c r="A65" s="14">
        <v>43497</v>
      </c>
      <c r="B65" s="25">
        <v>1.7288000000000001E-2</v>
      </c>
    </row>
    <row r="66" spans="1:2" hidden="1" x14ac:dyDescent="0.25">
      <c r="A66" s="14">
        <v>43525</v>
      </c>
      <c r="B66" s="25">
        <v>1.1864E-2</v>
      </c>
    </row>
    <row r="67" spans="1:2" hidden="1" x14ac:dyDescent="0.25">
      <c r="A67" s="14">
        <v>43556</v>
      </c>
      <c r="B67" s="25">
        <v>6.5420000000000001E-3</v>
      </c>
    </row>
    <row r="68" spans="1:2" hidden="1" x14ac:dyDescent="0.25">
      <c r="A68" s="14">
        <v>43586</v>
      </c>
      <c r="B68" s="25">
        <v>7.9850000000000008E-3</v>
      </c>
    </row>
    <row r="69" spans="1:2" hidden="1" x14ac:dyDescent="0.25">
      <c r="A69" s="14">
        <v>43617</v>
      </c>
      <c r="B69" s="25">
        <v>1.4010999999999999E-2</v>
      </c>
    </row>
    <row r="70" spans="1:2" hidden="1" x14ac:dyDescent="0.25">
      <c r="A70" s="14">
        <v>43647</v>
      </c>
      <c r="B70" s="25">
        <v>1.3396999999999999E-2</v>
      </c>
    </row>
    <row r="71" spans="1:2" hidden="1" x14ac:dyDescent="0.25">
      <c r="A71" s="14">
        <v>43678</v>
      </c>
      <c r="B71" s="25">
        <v>1.2625000000000001E-2</v>
      </c>
    </row>
    <row r="72" spans="1:2" hidden="1" x14ac:dyDescent="0.25">
      <c r="A72" s="14">
        <v>43709</v>
      </c>
      <c r="B72" s="25">
        <v>4.6829999999999997E-3</v>
      </c>
    </row>
    <row r="73" spans="1:2" hidden="1" x14ac:dyDescent="0.25">
      <c r="A73" s="14">
        <v>43739</v>
      </c>
      <c r="B73" s="25">
        <v>4.0010000000000002E-3</v>
      </c>
    </row>
    <row r="74" spans="1:2" hidden="1" x14ac:dyDescent="0.25">
      <c r="A74" s="14">
        <v>43770</v>
      </c>
      <c r="B74" s="25">
        <v>5.5989999999999998E-3</v>
      </c>
    </row>
    <row r="75" spans="1:2" hidden="1" x14ac:dyDescent="0.25">
      <c r="A75" s="14">
        <v>43800</v>
      </c>
      <c r="B75" s="25">
        <v>7.0670000000000004E-3</v>
      </c>
    </row>
    <row r="76" spans="1:2" hidden="1" x14ac:dyDescent="0.25">
      <c r="A76" s="14">
        <v>43831</v>
      </c>
      <c r="B76" s="25">
        <v>1.0317E-2</v>
      </c>
    </row>
    <row r="77" spans="1:2" hidden="1" x14ac:dyDescent="0.25">
      <c r="A77" s="14">
        <v>43862</v>
      </c>
      <c r="B77" s="25">
        <v>9.8370000000000003E-3</v>
      </c>
    </row>
    <row r="78" spans="1:2" hidden="1" x14ac:dyDescent="0.25">
      <c r="A78" s="14">
        <v>43891</v>
      </c>
      <c r="B78" s="25">
        <v>1.7531999999999999E-2</v>
      </c>
    </row>
    <row r="79" spans="1:2" hidden="1" x14ac:dyDescent="0.25">
      <c r="A79" s="14">
        <v>43922</v>
      </c>
      <c r="B79" s="25">
        <v>5.9680000000000002E-3</v>
      </c>
    </row>
    <row r="80" spans="1:2" hidden="1" x14ac:dyDescent="0.25">
      <c r="A80" s="14">
        <v>43952</v>
      </c>
      <c r="B80" s="25">
        <v>4.084E-3</v>
      </c>
    </row>
    <row r="81" spans="1:2" hidden="1" x14ac:dyDescent="0.25">
      <c r="A81" s="14">
        <v>43983</v>
      </c>
      <c r="B81" s="25">
        <v>7.9500000000000005E-3</v>
      </c>
    </row>
    <row r="82" spans="1:2" hidden="1" x14ac:dyDescent="0.25">
      <c r="A82" s="14">
        <v>44013</v>
      </c>
      <c r="B82" s="25">
        <v>1.1989E-2</v>
      </c>
    </row>
    <row r="83" spans="1:2" hidden="1" x14ac:dyDescent="0.25">
      <c r="A83" s="14">
        <v>44044</v>
      </c>
      <c r="B83" s="25">
        <v>8.3260000000000001E-3</v>
      </c>
    </row>
    <row r="84" spans="1:2" hidden="1" x14ac:dyDescent="0.25">
      <c r="A84" s="14">
        <v>44075</v>
      </c>
      <c r="B84" s="25">
        <v>3.2429999999999998E-3</v>
      </c>
    </row>
    <row r="85" spans="1:2" hidden="1" x14ac:dyDescent="0.25">
      <c r="A85" s="14">
        <v>44105</v>
      </c>
      <c r="B85" s="25">
        <v>2.5739999999999999E-3</v>
      </c>
    </row>
    <row r="86" spans="1:2" hidden="1" x14ac:dyDescent="0.25">
      <c r="A86" s="14">
        <v>44136</v>
      </c>
      <c r="B86" s="25">
        <v>2.4889999999999999E-3</v>
      </c>
    </row>
    <row r="87" spans="1:2" hidden="1" x14ac:dyDescent="0.25">
      <c r="A87" s="14">
        <v>44166</v>
      </c>
      <c r="B87" s="25">
        <v>5.2709999999999996E-3</v>
      </c>
    </row>
    <row r="88" spans="1:2" x14ac:dyDescent="0.25">
      <c r="A88" s="14">
        <v>44197</v>
      </c>
      <c r="B88" s="25">
        <v>6.7489999999999998E-3</v>
      </c>
    </row>
    <row r="89" spans="1:2" x14ac:dyDescent="0.25">
      <c r="A89" s="14">
        <v>44228</v>
      </c>
      <c r="B89" s="25">
        <v>3.8210000000000002E-3</v>
      </c>
    </row>
    <row r="90" spans="1:2" x14ac:dyDescent="0.25">
      <c r="A90" s="14">
        <v>44256</v>
      </c>
      <c r="B90" s="25">
        <v>2.366E-3</v>
      </c>
    </row>
    <row r="91" spans="1:2" x14ac:dyDescent="0.25">
      <c r="A91" s="14">
        <v>44287</v>
      </c>
      <c r="B91" s="25">
        <v>1.1958E-2</v>
      </c>
    </row>
    <row r="92" spans="1:2" x14ac:dyDescent="0.25">
      <c r="A92" s="14">
        <v>44317</v>
      </c>
      <c r="B92" s="25">
        <v>8.5000000000000006E-3</v>
      </c>
    </row>
    <row r="93" spans="1:2" x14ac:dyDescent="0.25">
      <c r="A93" s="14">
        <v>44348</v>
      </c>
      <c r="B93" s="25">
        <v>7.0520000000000001E-3</v>
      </c>
    </row>
    <row r="94" spans="1:2" x14ac:dyDescent="0.25">
      <c r="A94" s="14">
        <v>44378</v>
      </c>
      <c r="B94" s="25">
        <v>9.4870000000000006E-3</v>
      </c>
    </row>
    <row r="95" spans="1:2" x14ac:dyDescent="0.25">
      <c r="A95" s="14">
        <v>44409</v>
      </c>
      <c r="B95" s="25">
        <v>1.1766E-2</v>
      </c>
    </row>
    <row r="96" spans="1:2" x14ac:dyDescent="0.25">
      <c r="A96" s="14">
        <v>44440</v>
      </c>
      <c r="B96" s="25">
        <v>8.9949999999999995E-3</v>
      </c>
    </row>
    <row r="97" spans="1:2" x14ac:dyDescent="0.25">
      <c r="A97" s="14">
        <v>44470</v>
      </c>
      <c r="B97" s="25">
        <v>8.3700000000000007E-3</v>
      </c>
    </row>
    <row r="98" spans="1:2" x14ac:dyDescent="0.25">
      <c r="A98" s="14">
        <v>44501</v>
      </c>
      <c r="B98" s="25">
        <v>1.557E-3</v>
      </c>
    </row>
    <row r="99" spans="1:2" x14ac:dyDescent="0.25">
      <c r="A99" s="14">
        <v>44531</v>
      </c>
      <c r="B99" s="25">
        <v>8.5019999999999991E-3</v>
      </c>
    </row>
    <row r="100" spans="1:2" x14ac:dyDescent="0.25">
      <c r="A100" s="14">
        <v>44562</v>
      </c>
      <c r="B100" s="25">
        <v>1.0676E-2</v>
      </c>
    </row>
    <row r="101" spans="1:2" x14ac:dyDescent="0.25">
      <c r="A101" s="14">
        <v>44593</v>
      </c>
      <c r="B101" s="25">
        <v>1.3224E-2</v>
      </c>
    </row>
    <row r="102" spans="1:2" x14ac:dyDescent="0.25">
      <c r="A102" s="14">
        <v>44621</v>
      </c>
      <c r="B102" s="25">
        <v>7.4009999999999996E-3</v>
      </c>
    </row>
    <row r="103" spans="1:2" x14ac:dyDescent="0.25">
      <c r="A103" s="14">
        <v>44652</v>
      </c>
      <c r="B103" s="25">
        <v>5.8009999999999997E-3</v>
      </c>
    </row>
    <row r="104" spans="1:2" x14ac:dyDescent="0.25">
      <c r="A104" s="14">
        <v>44682</v>
      </c>
      <c r="B104" s="25">
        <v>5.8599999999999998E-3</v>
      </c>
    </row>
    <row r="105" spans="1:2" x14ac:dyDescent="0.25">
      <c r="A105" s="14">
        <v>44713</v>
      </c>
      <c r="B105" s="25">
        <v>2.415E-3</v>
      </c>
    </row>
    <row r="106" spans="1:2" x14ac:dyDescent="0.25">
      <c r="A106" s="14">
        <v>44743</v>
      </c>
      <c r="B106" s="25">
        <v>3.4229999999999998E-3</v>
      </c>
    </row>
    <row r="107" spans="1:2" x14ac:dyDescent="0.25">
      <c r="A107" s="14">
        <v>44774</v>
      </c>
      <c r="B107" s="25">
        <v>5.5230000000000001E-3</v>
      </c>
    </row>
    <row r="108" spans="1:2" x14ac:dyDescent="0.25">
      <c r="A108" s="14">
        <v>44805</v>
      </c>
      <c r="B108" s="25">
        <v>1.07018E-3</v>
      </c>
    </row>
    <row r="109" spans="1:2" x14ac:dyDescent="0.25">
      <c r="A109" s="14">
        <v>44835</v>
      </c>
      <c r="B109" s="25">
        <v>1.4170000000000001E-3</v>
      </c>
    </row>
    <row r="110" spans="1:2" x14ac:dyDescent="0.25">
      <c r="A110" s="14">
        <v>44866</v>
      </c>
      <c r="B110" s="25">
        <v>2.091E-3</v>
      </c>
    </row>
    <row r="111" spans="1:2" x14ac:dyDescent="0.25">
      <c r="A111" s="14">
        <v>44896</v>
      </c>
      <c r="B111" s="25">
        <v>1.967E-3</v>
      </c>
    </row>
    <row r="112" spans="1:2" x14ac:dyDescent="0.25">
      <c r="A112" s="14">
        <v>44927</v>
      </c>
      <c r="B112" s="25">
        <v>5.7279999999999996E-3</v>
      </c>
    </row>
    <row r="113" spans="1:2" x14ac:dyDescent="0.25">
      <c r="A113" s="14">
        <v>44958</v>
      </c>
      <c r="B113" s="25">
        <v>6.3829999999999998E-3</v>
      </c>
    </row>
    <row r="114" spans="1:2" x14ac:dyDescent="0.25">
      <c r="A114" s="14">
        <v>44986</v>
      </c>
      <c r="B114" s="25">
        <v>5.0039999999999998E-3</v>
      </c>
    </row>
    <row r="115" spans="1:2" x14ac:dyDescent="0.25">
      <c r="A115" s="14">
        <v>45017</v>
      </c>
      <c r="B115" s="25">
        <v>2.4819999999999998E-3</v>
      </c>
    </row>
    <row r="116" spans="1:2" x14ac:dyDescent="0.25">
      <c r="A116" s="14">
        <v>45047</v>
      </c>
      <c r="B116" s="25">
        <v>3.447E-3</v>
      </c>
    </row>
    <row r="117" spans="1:2" x14ac:dyDescent="0.25">
      <c r="A117" s="14">
        <v>45078</v>
      </c>
      <c r="B117" s="25">
        <v>3.9379999999999997E-3</v>
      </c>
    </row>
    <row r="118" spans="1:2" x14ac:dyDescent="0.25">
      <c r="A118" s="14">
        <v>45108</v>
      </c>
      <c r="B118" s="25">
        <v>4.7910000000000001E-3</v>
      </c>
    </row>
    <row r="119" spans="1:2" x14ac:dyDescent="0.25">
      <c r="A119" s="14">
        <v>45139</v>
      </c>
      <c r="B119" s="25">
        <v>3.565E-3</v>
      </c>
    </row>
    <row r="120" spans="1:2" x14ac:dyDescent="0.25">
      <c r="A120" s="14">
        <v>45170</v>
      </c>
      <c r="B120" s="25">
        <v>4.2909999999999997E-3</v>
      </c>
    </row>
    <row r="121" spans="1:2" x14ac:dyDescent="0.25">
      <c r="A121" s="14">
        <v>45200</v>
      </c>
      <c r="B121" s="25">
        <v>3.8639999999999998E-3</v>
      </c>
    </row>
    <row r="122" spans="1:2" x14ac:dyDescent="0.25">
      <c r="A122" s="14">
        <v>45231</v>
      </c>
      <c r="B122" s="25">
        <v>3.8140000000000001E-3</v>
      </c>
    </row>
    <row r="123" spans="1:2" x14ac:dyDescent="0.25">
      <c r="A123" s="14">
        <v>45261</v>
      </c>
      <c r="B123" s="25">
        <v>6.8479999999999999E-3</v>
      </c>
    </row>
    <row r="124" spans="1:2" x14ac:dyDescent="0.25">
      <c r="A124" s="14">
        <v>45292</v>
      </c>
      <c r="B124" s="25">
        <v>1.0902999999999999E-2</v>
      </c>
    </row>
    <row r="125" spans="1:2" x14ac:dyDescent="0.25">
      <c r="A125" s="14">
        <v>45323</v>
      </c>
      <c r="B125" s="25">
        <v>9.2490000000000003E-3</v>
      </c>
    </row>
    <row r="126" spans="1:2" x14ac:dyDescent="0.25">
      <c r="A126" s="14">
        <v>45352</v>
      </c>
      <c r="B126" s="25">
        <v>9.8960000000000003E-3</v>
      </c>
    </row>
    <row r="127" spans="1:2" x14ac:dyDescent="0.25">
      <c r="A127" s="14">
        <v>45383</v>
      </c>
      <c r="B127" s="25">
        <v>7.1770000000000002E-3</v>
      </c>
    </row>
    <row r="128" spans="1:2" x14ac:dyDescent="0.25">
      <c r="A128" s="14">
        <v>45413</v>
      </c>
      <c r="B128" s="25">
        <v>1.0963000000000001E-2</v>
      </c>
    </row>
    <row r="129" spans="1:2" x14ac:dyDescent="0.25">
      <c r="A129" s="14">
        <v>45444</v>
      </c>
      <c r="B129" s="25">
        <v>7.0410000000000004E-3</v>
      </c>
    </row>
    <row r="130" spans="1:2" x14ac:dyDescent="0.25">
      <c r="A130" s="14">
        <v>45474</v>
      </c>
      <c r="B130" s="25">
        <v>6.992E-3</v>
      </c>
    </row>
    <row r="131" spans="1:2" x14ac:dyDescent="0.25">
      <c r="A131" s="14">
        <v>45505</v>
      </c>
      <c r="B131" s="25">
        <v>8.9189999999999998E-3</v>
      </c>
    </row>
    <row r="132" spans="1:2" x14ac:dyDescent="0.25">
      <c r="A132" s="14">
        <v>45536</v>
      </c>
      <c r="B132" s="25">
        <v>7.4229999999999999E-3</v>
      </c>
    </row>
    <row r="133" spans="1:2" x14ac:dyDescent="0.25">
      <c r="A133" s="14">
        <v>45566</v>
      </c>
      <c r="B133" s="25">
        <v>6.6740000000000002E-3</v>
      </c>
    </row>
    <row r="134" spans="1:2" x14ac:dyDescent="0.25">
      <c r="A134" s="14">
        <v>45597</v>
      </c>
      <c r="B134" s="25">
        <v>8.3440000000000007E-3</v>
      </c>
    </row>
    <row r="135" spans="1:2" x14ac:dyDescent="0.25">
      <c r="A135" s="14">
        <v>45627</v>
      </c>
      <c r="B135" s="25">
        <v>1.7023E-2</v>
      </c>
    </row>
    <row r="136" spans="1:2" x14ac:dyDescent="0.25">
      <c r="A136" s="14">
        <v>45658</v>
      </c>
      <c r="B136" s="25">
        <v>1.0597000000000001E-2</v>
      </c>
    </row>
    <row r="137" spans="1:2" x14ac:dyDescent="0.25">
      <c r="A137" s="14">
        <v>45689</v>
      </c>
      <c r="B137" s="25">
        <v>5.6709999999999998E-3</v>
      </c>
    </row>
    <row r="138" spans="1:2" x14ac:dyDescent="0.25">
      <c r="A138" s="14">
        <v>45717</v>
      </c>
      <c r="B138" s="25">
        <v>1.0151E-2</v>
      </c>
    </row>
    <row r="139" spans="1:2" x14ac:dyDescent="0.25">
      <c r="A139" s="14">
        <v>45748</v>
      </c>
      <c r="B139" s="25">
        <v>7.6429999999999996E-3</v>
      </c>
    </row>
    <row r="140" spans="1:2" x14ac:dyDescent="0.25">
      <c r="A140" s="14">
        <v>45778</v>
      </c>
      <c r="B140" s="25">
        <v>1.1212E-2</v>
      </c>
    </row>
    <row r="141" spans="1:2" x14ac:dyDescent="0.25">
      <c r="A141" s="14">
        <v>45809</v>
      </c>
      <c r="B141" s="25">
        <v>7.7359999999999998E-3</v>
      </c>
    </row>
    <row r="142" spans="1:2" x14ac:dyDescent="0.25">
      <c r="A142" s="14">
        <v>45839</v>
      </c>
      <c r="B142" s="25">
        <v>1.477E-2</v>
      </c>
    </row>
    <row r="143" spans="1:2" x14ac:dyDescent="0.25">
      <c r="A143" s="14">
        <v>45870</v>
      </c>
      <c r="B143" s="25">
        <v>1.1377E-2</v>
      </c>
    </row>
    <row r="144" spans="1:2" x14ac:dyDescent="0.25">
      <c r="A144" s="14">
        <v>45901</v>
      </c>
      <c r="B144" s="25">
        <v>1.3552E-2</v>
      </c>
    </row>
    <row r="145" spans="1:5" x14ac:dyDescent="0.25">
      <c r="A145" s="14"/>
      <c r="B145" s="25"/>
    </row>
    <row r="146" spans="1:5" x14ac:dyDescent="0.25">
      <c r="A146" s="14"/>
      <c r="B146" s="25"/>
    </row>
    <row r="147" spans="1:5" x14ac:dyDescent="0.25">
      <c r="A147" s="14"/>
    </row>
    <row r="148" spans="1:5" ht="60" x14ac:dyDescent="0.25">
      <c r="A148" s="27" t="str">
        <f>Pooling_Month</f>
        <v>November 2025</v>
      </c>
      <c r="B148" s="29" t="s">
        <v>69</v>
      </c>
    </row>
    <row r="149" spans="1:5" x14ac:dyDescent="0.25">
      <c r="A149" s="31" t="s">
        <v>60</v>
      </c>
      <c r="B149" s="32">
        <f>B154</f>
        <v>1.4473E-2</v>
      </c>
    </row>
    <row r="150" spans="1:5" ht="15.75" customHeight="1" x14ac:dyDescent="0.25"/>
    <row r="151" spans="1:5" hidden="1" x14ac:dyDescent="0.25">
      <c r="E151" t="s">
        <v>193</v>
      </c>
    </row>
    <row r="152" spans="1:5" ht="30" hidden="1" x14ac:dyDescent="0.25">
      <c r="A152" s="40" t="s">
        <v>214</v>
      </c>
      <c r="B152" s="95">
        <f>B134-B132</f>
        <v>9.2100000000000081E-4</v>
      </c>
    </row>
    <row r="153" spans="1:5" hidden="1" x14ac:dyDescent="0.25">
      <c r="A153" s="93" t="s">
        <v>215</v>
      </c>
      <c r="B153" s="95">
        <f>B144</f>
        <v>1.3552E-2</v>
      </c>
    </row>
    <row r="154" spans="1:5" hidden="1" x14ac:dyDescent="0.25">
      <c r="A154" s="269" t="s">
        <v>211</v>
      </c>
      <c r="B154" s="95">
        <f>SUM(B152:B153)</f>
        <v>1.4473E-2</v>
      </c>
    </row>
    <row r="155" spans="1:5" hidden="1" x14ac:dyDescent="0.25">
      <c r="A155" s="92" t="s">
        <v>206</v>
      </c>
      <c r="B155" s="95">
        <f>B134</f>
        <v>8.3440000000000007E-3</v>
      </c>
    </row>
    <row r="156" spans="1:5" hidden="1" x14ac:dyDescent="0.25">
      <c r="A156" s="92" t="s">
        <v>207</v>
      </c>
      <c r="B156" s="95">
        <f>B122</f>
        <v>3.8140000000000001E-3</v>
      </c>
    </row>
    <row r="157" spans="1:5" hidden="1" x14ac:dyDescent="0.25">
      <c r="A157" s="91" t="s">
        <v>208</v>
      </c>
      <c r="B157" s="95">
        <f>B110</f>
        <v>2.091E-3</v>
      </c>
    </row>
    <row r="158" spans="1:5" ht="30" hidden="1" x14ac:dyDescent="0.25">
      <c r="A158" s="40" t="s">
        <v>209</v>
      </c>
      <c r="B158" s="95">
        <f>AVERAGE(B154:B157)</f>
        <v>7.1805000000000003E-3</v>
      </c>
    </row>
    <row r="159" spans="1:5" ht="30" hidden="1" x14ac:dyDescent="0.25">
      <c r="A159" s="40" t="s">
        <v>212</v>
      </c>
      <c r="B159" s="25">
        <f>AVERAGE(B154:B156)</f>
        <v>8.8770000000000012E-3</v>
      </c>
    </row>
    <row r="162" spans="1:1" x14ac:dyDescent="0.25">
      <c r="A162" s="40"/>
    </row>
    <row r="163" spans="1:1" x14ac:dyDescent="0.25">
      <c r="A163" s="93"/>
    </row>
    <row r="164" spans="1:1" x14ac:dyDescent="0.25">
      <c r="A164" s="91"/>
    </row>
    <row r="165" spans="1:1" x14ac:dyDescent="0.25">
      <c r="A165" s="92"/>
    </row>
    <row r="167" spans="1:1" x14ac:dyDescent="0.25">
      <c r="A167" s="92"/>
    </row>
    <row r="168" spans="1:1" x14ac:dyDescent="0.25">
      <c r="A168" s="92"/>
    </row>
    <row r="169" spans="1:1" x14ac:dyDescent="0.25">
      <c r="A169" s="91"/>
    </row>
    <row r="170" spans="1:1" x14ac:dyDescent="0.25">
      <c r="A170" s="40"/>
    </row>
  </sheetData>
  <sheetProtection algorithmName="SHA-512" hashValue="xEzuZvNrw9BCJDX7rAsKBy+4dfrsgnmfHvZYAUEDB/TsfLtAEvTccnx1Y6IwogocZhO2vXVMtnB23/PahHBKpA==" saltValue="u9oRVtDIHoKa9AF+2FDAtg=="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tint="0.39997558519241921"/>
  </sheetPr>
  <dimension ref="A1:K166"/>
  <sheetViews>
    <sheetView topLeftCell="A145" workbookViewId="0">
      <selection activeCell="D174" sqref="D174"/>
    </sheetView>
  </sheetViews>
  <sheetFormatPr defaultRowHeight="15" x14ac:dyDescent="0.25"/>
  <cols>
    <col min="1" max="1" width="27" customWidth="1"/>
    <col min="2" max="2" width="17.85546875" customWidth="1"/>
    <col min="3" max="3" width="18" customWidth="1"/>
    <col min="5" max="5" width="35.42578125" customWidth="1"/>
    <col min="6" max="6" width="20.42578125" hidden="1" customWidth="1"/>
    <col min="9" max="9" width="9.140625" customWidth="1"/>
  </cols>
  <sheetData>
    <row r="1" spans="1:6" x14ac:dyDescent="0.25">
      <c r="A1" s="23" t="s">
        <v>55</v>
      </c>
      <c r="B1" s="23" t="s">
        <v>79</v>
      </c>
      <c r="E1" s="216" t="s">
        <v>201</v>
      </c>
    </row>
    <row r="2" spans="1:6" x14ac:dyDescent="0.25">
      <c r="A2" s="22" t="s">
        <v>56</v>
      </c>
      <c r="B2" s="22" t="s">
        <v>57</v>
      </c>
    </row>
    <row r="4" spans="1:6" ht="90" x14ac:dyDescent="0.25">
      <c r="A4" s="24" t="s">
        <v>0</v>
      </c>
      <c r="B4" s="20" t="s">
        <v>137</v>
      </c>
      <c r="C4" s="20" t="s">
        <v>138</v>
      </c>
      <c r="F4" s="28" t="s">
        <v>84</v>
      </c>
    </row>
    <row r="5" spans="1:6" hidden="1" x14ac:dyDescent="0.25">
      <c r="A5" s="14">
        <v>41579</v>
      </c>
      <c r="B5" s="25">
        <v>0.11491999999999999</v>
      </c>
      <c r="C5" s="25">
        <v>0.28892899999999999</v>
      </c>
      <c r="F5" s="96">
        <f>C5/B5</f>
        <v>2.51417507831535</v>
      </c>
    </row>
    <row r="6" spans="1:6" hidden="1" x14ac:dyDescent="0.25">
      <c r="A6" s="14">
        <v>41609</v>
      </c>
      <c r="B6" s="25">
        <v>0.14013100000000001</v>
      </c>
      <c r="C6" s="25">
        <v>0.31473400000000001</v>
      </c>
      <c r="F6" s="96">
        <f t="shared" ref="F6:F39" si="0">C6/B6</f>
        <v>2.2459983872233837</v>
      </c>
    </row>
    <row r="7" spans="1:6" hidden="1" x14ac:dyDescent="0.25">
      <c r="A7" s="14">
        <v>41640</v>
      </c>
      <c r="B7" s="25">
        <v>0.15754599999999999</v>
      </c>
      <c r="C7" s="25">
        <v>0.35601300000000002</v>
      </c>
      <c r="F7" s="96">
        <f t="shared" si="0"/>
        <v>2.2597400124408114</v>
      </c>
    </row>
    <row r="8" spans="1:6" hidden="1" x14ac:dyDescent="0.25">
      <c r="A8" s="14">
        <v>41671</v>
      </c>
      <c r="B8" s="25">
        <v>0.14058899999999999</v>
      </c>
      <c r="C8" s="25">
        <v>0.321266</v>
      </c>
      <c r="F8" s="96">
        <f t="shared" si="0"/>
        <v>2.2851432188862573</v>
      </c>
    </row>
    <row r="9" spans="1:6" hidden="1" x14ac:dyDescent="0.25">
      <c r="A9" s="14">
        <v>41699</v>
      </c>
      <c r="B9" s="25">
        <v>0.15273600000000001</v>
      </c>
      <c r="C9" s="25">
        <v>0.31956299999999999</v>
      </c>
      <c r="F9" s="96">
        <f t="shared" si="0"/>
        <v>2.0922572281583909</v>
      </c>
    </row>
    <row r="10" spans="1:6" hidden="1" x14ac:dyDescent="0.25">
      <c r="A10" s="14">
        <v>41730</v>
      </c>
      <c r="B10" s="25">
        <v>0.16483900000000001</v>
      </c>
      <c r="C10" s="25">
        <v>0.33604899999999999</v>
      </c>
      <c r="F10" s="96">
        <f t="shared" si="0"/>
        <v>2.0386498340805268</v>
      </c>
    </row>
    <row r="11" spans="1:6" hidden="1" x14ac:dyDescent="0.25">
      <c r="A11" s="14">
        <v>41760</v>
      </c>
      <c r="B11" s="25">
        <v>0.16026599999999999</v>
      </c>
      <c r="C11" s="25">
        <v>0.31649500000000003</v>
      </c>
      <c r="F11" s="96">
        <f t="shared" si="0"/>
        <v>1.9748106273320607</v>
      </c>
    </row>
    <row r="12" spans="1:6" hidden="1" x14ac:dyDescent="0.25">
      <c r="A12" s="14">
        <v>41791</v>
      </c>
      <c r="B12" s="25">
        <v>0.14763799999999999</v>
      </c>
      <c r="C12" s="25">
        <v>0.28406700000000001</v>
      </c>
      <c r="F12" s="96">
        <f t="shared" si="0"/>
        <v>1.9240778119454343</v>
      </c>
    </row>
    <row r="13" spans="1:6" hidden="1" x14ac:dyDescent="0.25">
      <c r="A13" s="14">
        <v>41821</v>
      </c>
      <c r="B13" s="25">
        <v>0.14802399999999999</v>
      </c>
      <c r="C13" s="25">
        <v>0.28536099999999998</v>
      </c>
      <c r="F13" s="96">
        <f t="shared" si="0"/>
        <v>1.927802248284062</v>
      </c>
    </row>
    <row r="14" spans="1:6" hidden="1" x14ac:dyDescent="0.25">
      <c r="A14" s="14">
        <v>41852</v>
      </c>
      <c r="B14" s="25">
        <v>0.157363</v>
      </c>
      <c r="C14" s="25">
        <v>0.30434899999999998</v>
      </c>
      <c r="F14" s="96">
        <f t="shared" si="0"/>
        <v>1.9340569257068052</v>
      </c>
    </row>
    <row r="15" spans="1:6" hidden="1" x14ac:dyDescent="0.25">
      <c r="A15" s="14">
        <v>41883</v>
      </c>
      <c r="B15" s="25">
        <v>0.16189700000000001</v>
      </c>
      <c r="C15" s="25">
        <v>0.324488</v>
      </c>
      <c r="F15" s="96">
        <f t="shared" si="0"/>
        <v>2.0042866760965303</v>
      </c>
    </row>
    <row r="16" spans="1:6" hidden="1" x14ac:dyDescent="0.25">
      <c r="A16" s="14">
        <v>41913</v>
      </c>
      <c r="B16" s="25">
        <v>0.16720399999999999</v>
      </c>
      <c r="C16" s="25">
        <v>0.33759499999999998</v>
      </c>
      <c r="F16" s="96">
        <f t="shared" si="0"/>
        <v>2.0190605487906987</v>
      </c>
    </row>
    <row r="17" spans="1:6" hidden="1" x14ac:dyDescent="0.25">
      <c r="A17" s="14">
        <v>41944</v>
      </c>
      <c r="B17" s="25">
        <v>0.141958</v>
      </c>
      <c r="C17" s="25">
        <v>0.30612200000000001</v>
      </c>
      <c r="F17" s="96">
        <f t="shared" si="0"/>
        <v>2.1564265486975023</v>
      </c>
    </row>
    <row r="18" spans="1:6" hidden="1" x14ac:dyDescent="0.25">
      <c r="A18" s="14">
        <v>41974</v>
      </c>
      <c r="B18" s="25">
        <v>0.15570400000000001</v>
      </c>
      <c r="C18" s="25">
        <v>0.319996</v>
      </c>
      <c r="F18" s="96">
        <f t="shared" si="0"/>
        <v>2.055155936905924</v>
      </c>
    </row>
    <row r="19" spans="1:6" hidden="1" x14ac:dyDescent="0.25">
      <c r="A19" s="14">
        <v>42005</v>
      </c>
      <c r="B19" s="25">
        <v>0.152563</v>
      </c>
      <c r="C19" s="25">
        <v>0.31522899999999998</v>
      </c>
      <c r="F19" s="96">
        <f t="shared" si="0"/>
        <v>2.0662218231156961</v>
      </c>
    </row>
    <row r="20" spans="1:6" hidden="1" x14ac:dyDescent="0.25">
      <c r="A20" s="14">
        <v>42036</v>
      </c>
      <c r="B20" s="25">
        <v>0.151477</v>
      </c>
      <c r="C20" s="25">
        <v>0.30510700000000002</v>
      </c>
      <c r="F20" s="96">
        <f t="shared" si="0"/>
        <v>2.0142133789288144</v>
      </c>
    </row>
    <row r="21" spans="1:6" hidden="1" x14ac:dyDescent="0.25">
      <c r="A21" s="14">
        <v>42064</v>
      </c>
      <c r="B21" s="25">
        <v>0.14623800000000001</v>
      </c>
      <c r="C21" s="25">
        <v>0.29702600000000001</v>
      </c>
      <c r="F21" s="96">
        <f t="shared" si="0"/>
        <v>2.0311136640271337</v>
      </c>
    </row>
    <row r="22" spans="1:6" hidden="1" x14ac:dyDescent="0.25">
      <c r="A22" s="14">
        <v>42095</v>
      </c>
      <c r="B22" s="25">
        <v>0.138263</v>
      </c>
      <c r="C22" s="25">
        <v>0.289186</v>
      </c>
      <c r="F22" s="96">
        <f t="shared" si="0"/>
        <v>2.0915646268343666</v>
      </c>
    </row>
    <row r="23" spans="1:6" hidden="1" x14ac:dyDescent="0.25">
      <c r="A23" s="14">
        <v>42125</v>
      </c>
      <c r="B23" s="25">
        <v>0.13628599999999999</v>
      </c>
      <c r="C23" s="25">
        <v>0.276588</v>
      </c>
      <c r="F23" s="96">
        <f t="shared" si="0"/>
        <v>2.0294674434644793</v>
      </c>
    </row>
    <row r="24" spans="1:6" hidden="1" x14ac:dyDescent="0.25">
      <c r="A24" s="14">
        <v>42156</v>
      </c>
      <c r="B24" s="25">
        <v>0.12238599999999999</v>
      </c>
      <c r="C24" s="25">
        <v>0.24155799999999999</v>
      </c>
      <c r="F24" s="96">
        <f t="shared" si="0"/>
        <v>1.9737388263363458</v>
      </c>
    </row>
    <row r="25" spans="1:6" hidden="1" x14ac:dyDescent="0.25">
      <c r="A25" s="14">
        <v>42186</v>
      </c>
      <c r="B25" s="25">
        <v>0.136792</v>
      </c>
      <c r="C25" s="25">
        <v>0.26720699999999997</v>
      </c>
      <c r="F25" s="96">
        <f t="shared" si="0"/>
        <v>1.9533817767120882</v>
      </c>
    </row>
    <row r="26" spans="1:6" hidden="1" x14ac:dyDescent="0.25">
      <c r="A26" s="14">
        <v>42217</v>
      </c>
      <c r="B26" s="25">
        <v>0.14049200000000001</v>
      </c>
      <c r="C26" s="25">
        <v>0.278725</v>
      </c>
      <c r="F26" s="96">
        <f t="shared" si="0"/>
        <v>1.9839207926429974</v>
      </c>
    </row>
    <row r="27" spans="1:6" hidden="1" x14ac:dyDescent="0.25">
      <c r="A27" s="14">
        <v>42248</v>
      </c>
      <c r="B27" s="25">
        <v>0.14083699999999999</v>
      </c>
      <c r="C27" s="25">
        <v>0.28983599999999998</v>
      </c>
      <c r="F27" s="96">
        <f t="shared" si="0"/>
        <v>2.0579535207367381</v>
      </c>
    </row>
    <row r="28" spans="1:6" hidden="1" x14ac:dyDescent="0.25">
      <c r="A28" s="14">
        <v>42278</v>
      </c>
      <c r="B28" s="25">
        <v>0.14111599999999999</v>
      </c>
      <c r="C28" s="25">
        <v>0.291744</v>
      </c>
      <c r="F28" s="96">
        <f t="shared" si="0"/>
        <v>2.0674055387057457</v>
      </c>
    </row>
    <row r="29" spans="1:6" hidden="1" x14ac:dyDescent="0.25">
      <c r="A29" s="14">
        <v>42309</v>
      </c>
      <c r="B29" s="25">
        <v>0.13934099999999999</v>
      </c>
      <c r="C29" s="25">
        <v>0.28956799999999999</v>
      </c>
      <c r="F29" s="96">
        <f t="shared" si="0"/>
        <v>2.0781248878650218</v>
      </c>
    </row>
    <row r="30" spans="1:6" hidden="1" x14ac:dyDescent="0.25">
      <c r="A30" s="14">
        <v>42339</v>
      </c>
      <c r="B30" s="25">
        <v>0.14752199999999999</v>
      </c>
      <c r="C30" s="25">
        <v>0.302678</v>
      </c>
      <c r="F30" s="96">
        <f t="shared" si="0"/>
        <v>2.0517482138257348</v>
      </c>
    </row>
    <row r="31" spans="1:6" hidden="1" x14ac:dyDescent="0.25">
      <c r="A31" s="14">
        <v>42370</v>
      </c>
      <c r="B31" s="25">
        <v>0.14166799999999999</v>
      </c>
      <c r="C31" s="25">
        <v>0.296238</v>
      </c>
      <c r="F31" s="96">
        <f t="shared" si="0"/>
        <v>2.0910720840274446</v>
      </c>
    </row>
    <row r="32" spans="1:6" hidden="1" x14ac:dyDescent="0.25">
      <c r="A32" s="14">
        <v>42401</v>
      </c>
      <c r="B32" s="25">
        <v>0.14480499999999999</v>
      </c>
      <c r="C32" s="25">
        <v>0.29871500000000001</v>
      </c>
      <c r="F32" s="96">
        <f t="shared" si="0"/>
        <v>2.0628776630641208</v>
      </c>
    </row>
    <row r="33" spans="1:6" hidden="1" x14ac:dyDescent="0.25">
      <c r="A33" s="14">
        <v>42430</v>
      </c>
      <c r="B33" s="25">
        <v>0.14351800000000001</v>
      </c>
      <c r="C33" s="25">
        <v>0.29424600000000001</v>
      </c>
      <c r="F33" s="96">
        <f t="shared" si="0"/>
        <v>2.0502376008584289</v>
      </c>
    </row>
    <row r="34" spans="1:6" hidden="1" x14ac:dyDescent="0.25">
      <c r="A34" s="14">
        <v>42461</v>
      </c>
      <c r="B34" s="25">
        <v>0.14793600000000001</v>
      </c>
      <c r="C34" s="25">
        <v>0.302894</v>
      </c>
      <c r="F34" s="96">
        <f t="shared" si="0"/>
        <v>2.0474664719878866</v>
      </c>
    </row>
    <row r="35" spans="1:6" hidden="1" x14ac:dyDescent="0.25">
      <c r="A35" s="14">
        <v>42491</v>
      </c>
      <c r="B35" s="25">
        <v>0.139267</v>
      </c>
      <c r="C35" s="25">
        <v>0.27593200000000001</v>
      </c>
      <c r="F35" s="96">
        <f t="shared" si="0"/>
        <v>1.9813164640582479</v>
      </c>
    </row>
    <row r="36" spans="1:6" hidden="1" x14ac:dyDescent="0.25">
      <c r="A36" s="14">
        <v>42522</v>
      </c>
      <c r="B36" s="25">
        <v>0.14191400000000001</v>
      </c>
      <c r="C36" s="25">
        <v>0.27126699999999998</v>
      </c>
      <c r="F36" s="96">
        <f t="shared" si="0"/>
        <v>1.9114886480544553</v>
      </c>
    </row>
    <row r="37" spans="1:6" hidden="1" x14ac:dyDescent="0.25">
      <c r="A37" s="14">
        <v>42552</v>
      </c>
      <c r="B37" s="25">
        <v>0.13888200000000001</v>
      </c>
      <c r="C37" s="25">
        <v>0.281779</v>
      </c>
      <c r="F37" s="96">
        <f t="shared" si="0"/>
        <v>2.0289094339079217</v>
      </c>
    </row>
    <row r="38" spans="1:6" hidden="1" x14ac:dyDescent="0.25">
      <c r="A38" s="14">
        <v>42583</v>
      </c>
      <c r="B38" s="25">
        <v>0.15337500000000001</v>
      </c>
      <c r="C38" s="25">
        <v>0.31591999999999998</v>
      </c>
      <c r="F38" s="96">
        <f t="shared" si="0"/>
        <v>2.0597881010594943</v>
      </c>
    </row>
    <row r="39" spans="1:6" hidden="1" x14ac:dyDescent="0.25">
      <c r="A39" s="14">
        <v>42614</v>
      </c>
      <c r="B39" s="25">
        <v>0.14744099999999999</v>
      </c>
      <c r="C39" s="25">
        <v>0.31104300000000001</v>
      </c>
      <c r="F39" s="96">
        <f t="shared" si="0"/>
        <v>2.1096099456731849</v>
      </c>
    </row>
    <row r="40" spans="1:6" hidden="1" x14ac:dyDescent="0.25">
      <c r="A40" s="14">
        <v>42644</v>
      </c>
      <c r="B40" s="25">
        <v>0.13972899999999999</v>
      </c>
      <c r="C40" s="25">
        <v>0.30178100000000002</v>
      </c>
      <c r="F40" s="96">
        <f>C40/B40</f>
        <v>2.1597592482591303</v>
      </c>
    </row>
    <row r="41" spans="1:6" hidden="1" x14ac:dyDescent="0.25">
      <c r="A41" s="14">
        <v>42675</v>
      </c>
      <c r="B41" s="25">
        <v>0.14069999999999999</v>
      </c>
      <c r="C41" s="25">
        <v>0.30149999999999999</v>
      </c>
      <c r="F41" s="96">
        <f t="shared" ref="F41:F50" si="1">C41/B41</f>
        <v>2.1428571428571428</v>
      </c>
    </row>
    <row r="42" spans="1:6" hidden="1" x14ac:dyDescent="0.25">
      <c r="A42" s="14">
        <v>42705</v>
      </c>
      <c r="B42" s="25">
        <v>0.15910000000000002</v>
      </c>
      <c r="C42" s="25">
        <v>0.33740000000000003</v>
      </c>
      <c r="F42" s="96">
        <f t="shared" si="1"/>
        <v>2.120678818353237</v>
      </c>
    </row>
    <row r="43" spans="1:6" hidden="1" x14ac:dyDescent="0.25">
      <c r="A43" s="14">
        <v>42736</v>
      </c>
      <c r="B43" s="25">
        <v>0.15179999999999999</v>
      </c>
      <c r="C43" s="25">
        <v>0.3206</v>
      </c>
      <c r="F43" s="96">
        <f t="shared" si="1"/>
        <v>2.1119894598155469</v>
      </c>
    </row>
    <row r="44" spans="1:6" hidden="1" x14ac:dyDescent="0.25">
      <c r="A44" s="14">
        <v>42767</v>
      </c>
      <c r="B44" s="25">
        <v>0.159</v>
      </c>
      <c r="C44" s="25">
        <v>0.32889999999999997</v>
      </c>
      <c r="F44" s="96">
        <f t="shared" si="1"/>
        <v>2.0685534591194967</v>
      </c>
    </row>
    <row r="45" spans="1:6" hidden="1" x14ac:dyDescent="0.25">
      <c r="A45" s="14">
        <v>42795</v>
      </c>
      <c r="B45" s="25">
        <v>0.16290000000000002</v>
      </c>
      <c r="C45" s="25">
        <v>0.3352</v>
      </c>
      <c r="F45" s="96">
        <f t="shared" si="1"/>
        <v>2.0577041129527314</v>
      </c>
    </row>
    <row r="46" spans="1:6" hidden="1" x14ac:dyDescent="0.25">
      <c r="A46" s="14">
        <v>42826</v>
      </c>
      <c r="B46" s="25">
        <v>0.158</v>
      </c>
      <c r="C46" s="25">
        <v>0.32380000000000003</v>
      </c>
      <c r="F46" s="96">
        <f t="shared" si="1"/>
        <v>2.0493670886075952</v>
      </c>
    </row>
    <row r="47" spans="1:6" hidden="1" x14ac:dyDescent="0.25">
      <c r="A47" s="14">
        <v>42856</v>
      </c>
      <c r="B47" s="25">
        <v>0.15870000000000001</v>
      </c>
      <c r="C47" s="25">
        <v>0.32299999999999995</v>
      </c>
      <c r="F47" s="96">
        <f t="shared" si="1"/>
        <v>2.0352867044738496</v>
      </c>
    </row>
    <row r="48" spans="1:6" hidden="1" x14ac:dyDescent="0.25">
      <c r="A48" s="14">
        <v>42887</v>
      </c>
      <c r="B48" s="25">
        <v>0.16020000000000001</v>
      </c>
      <c r="C48" s="25">
        <v>0.31319999999999998</v>
      </c>
      <c r="F48" s="96">
        <f t="shared" si="1"/>
        <v>1.9550561797752806</v>
      </c>
    </row>
    <row r="49" spans="1:6" hidden="1" x14ac:dyDescent="0.25">
      <c r="A49" s="14">
        <v>42917</v>
      </c>
      <c r="B49" s="25">
        <v>0.158888</v>
      </c>
      <c r="C49" s="25">
        <v>0.30704300000000001</v>
      </c>
      <c r="F49" s="96">
        <f t="shared" si="1"/>
        <v>1.9324492724434823</v>
      </c>
    </row>
    <row r="50" spans="1:6" hidden="1" x14ac:dyDescent="0.25">
      <c r="A50" s="14">
        <v>42948</v>
      </c>
      <c r="B50" s="25">
        <v>0.16734399999999999</v>
      </c>
      <c r="C50" s="25">
        <v>0.32919700000000002</v>
      </c>
      <c r="F50" s="96">
        <f t="shared" si="1"/>
        <v>1.9671873506071329</v>
      </c>
    </row>
    <row r="51" spans="1:6" hidden="1" x14ac:dyDescent="0.25">
      <c r="A51" s="14">
        <v>42979</v>
      </c>
      <c r="B51" s="25">
        <v>0.16395899999999999</v>
      </c>
      <c r="C51" s="25">
        <v>0.32841199999999998</v>
      </c>
      <c r="F51" s="96">
        <f t="shared" ref="F51:F70" si="2">C51/B51</f>
        <v>2.0030129483590411</v>
      </c>
    </row>
    <row r="52" spans="1:6" hidden="1" x14ac:dyDescent="0.25">
      <c r="A52" s="14">
        <v>43009</v>
      </c>
      <c r="B52" s="25">
        <v>0.15711800000000001</v>
      </c>
      <c r="C52" s="25">
        <v>0.31939600000000001</v>
      </c>
      <c r="F52" s="96">
        <f t="shared" si="2"/>
        <v>2.0328415585738107</v>
      </c>
    </row>
    <row r="53" spans="1:6" hidden="1" x14ac:dyDescent="0.25">
      <c r="A53" s="14">
        <v>43040</v>
      </c>
      <c r="B53" s="25">
        <v>0.16409899999999999</v>
      </c>
      <c r="C53" s="25">
        <v>0.335642</v>
      </c>
      <c r="F53" s="96">
        <f t="shared" si="2"/>
        <v>2.0453628602246203</v>
      </c>
    </row>
    <row r="54" spans="1:6" hidden="1" x14ac:dyDescent="0.25">
      <c r="A54" s="14">
        <v>43070</v>
      </c>
      <c r="B54" s="25">
        <v>0.159333</v>
      </c>
      <c r="C54" s="25">
        <v>0.320606</v>
      </c>
      <c r="F54" s="96">
        <f t="shared" si="2"/>
        <v>2.0121757576898696</v>
      </c>
    </row>
    <row r="55" spans="1:6" hidden="1" x14ac:dyDescent="0.25">
      <c r="A55" s="14">
        <v>43101</v>
      </c>
      <c r="B55" s="25">
        <v>0.16988700000000001</v>
      </c>
      <c r="C55" s="25">
        <v>0.34370099999999998</v>
      </c>
      <c r="F55" s="96">
        <f t="shared" si="2"/>
        <v>2.0231153649190343</v>
      </c>
    </row>
    <row r="56" spans="1:6" hidden="1" x14ac:dyDescent="0.25">
      <c r="A56" s="14">
        <v>43132</v>
      </c>
      <c r="B56" s="25">
        <v>0.16858100000000001</v>
      </c>
      <c r="C56" s="25">
        <v>0.33840799999999999</v>
      </c>
      <c r="F56" s="96">
        <f t="shared" si="2"/>
        <v>2.0073911057592491</v>
      </c>
    </row>
    <row r="57" spans="1:6" hidden="1" x14ac:dyDescent="0.25">
      <c r="A57" s="14">
        <v>43160</v>
      </c>
      <c r="B57" s="25">
        <v>0.17061799999999999</v>
      </c>
      <c r="C57" s="25">
        <v>0.34012500000000001</v>
      </c>
      <c r="F57" s="96">
        <f t="shared" si="2"/>
        <v>1.9934883775451595</v>
      </c>
    </row>
    <row r="58" spans="1:6" hidden="1" x14ac:dyDescent="0.25">
      <c r="A58" s="14">
        <v>43191</v>
      </c>
      <c r="B58" s="25">
        <v>0.16058</v>
      </c>
      <c r="C58" s="25">
        <v>0.317523</v>
      </c>
      <c r="F58" s="96">
        <f t="shared" si="2"/>
        <v>1.9773508531573047</v>
      </c>
    </row>
    <row r="59" spans="1:6" hidden="1" x14ac:dyDescent="0.25">
      <c r="A59" s="14">
        <v>43221</v>
      </c>
      <c r="B59" s="25">
        <v>0.16197400000000001</v>
      </c>
      <c r="C59" s="25">
        <v>0.31332300000000002</v>
      </c>
      <c r="F59" s="96">
        <f t="shared" si="2"/>
        <v>1.9344030523417339</v>
      </c>
    </row>
    <row r="60" spans="1:6" hidden="1" x14ac:dyDescent="0.25">
      <c r="A60" s="14">
        <v>43252</v>
      </c>
      <c r="B60" s="25">
        <v>0.16020999999999999</v>
      </c>
      <c r="C60" s="25">
        <v>0.29991600000000002</v>
      </c>
      <c r="F60" s="96">
        <f t="shared" si="2"/>
        <v>1.8720179764059675</v>
      </c>
    </row>
    <row r="61" spans="1:6" hidden="1" x14ac:dyDescent="0.25">
      <c r="A61" s="14">
        <v>43282</v>
      </c>
      <c r="B61" s="25">
        <v>0.16223000000000001</v>
      </c>
      <c r="C61" s="25">
        <v>0.30474099999999998</v>
      </c>
      <c r="F61" s="96">
        <f t="shared" si="2"/>
        <v>1.8784503482709731</v>
      </c>
    </row>
    <row r="62" spans="1:6" hidden="1" x14ac:dyDescent="0.25">
      <c r="A62" s="14">
        <v>43313</v>
      </c>
      <c r="B62" s="25">
        <v>0.16886200000000001</v>
      </c>
      <c r="C62" s="25">
        <v>0.31771899999999997</v>
      </c>
      <c r="F62" s="96">
        <f t="shared" si="2"/>
        <v>1.8815304805107127</v>
      </c>
    </row>
    <row r="63" spans="1:6" hidden="1" x14ac:dyDescent="0.25">
      <c r="A63" s="14">
        <v>43344</v>
      </c>
      <c r="B63" s="25">
        <v>0.17102800000000001</v>
      </c>
      <c r="C63" s="25">
        <v>0.33010099999999998</v>
      </c>
      <c r="F63" s="96">
        <f t="shared" si="2"/>
        <v>1.9300991650489976</v>
      </c>
    </row>
    <row r="64" spans="1:6" hidden="1" x14ac:dyDescent="0.25">
      <c r="A64" s="14">
        <v>43374</v>
      </c>
      <c r="B64" s="25">
        <v>0.15296599999999999</v>
      </c>
      <c r="C64" s="25">
        <v>0.30055100000000001</v>
      </c>
      <c r="F64" s="96">
        <f t="shared" si="2"/>
        <v>1.9648222480812731</v>
      </c>
    </row>
    <row r="65" spans="1:10" hidden="1" x14ac:dyDescent="0.25">
      <c r="A65" s="14">
        <v>43405</v>
      </c>
      <c r="B65" s="25">
        <v>0.15087700000000001</v>
      </c>
      <c r="C65" s="25">
        <v>0.29690499999999997</v>
      </c>
      <c r="F65" s="96">
        <f t="shared" si="2"/>
        <v>1.9678612379620481</v>
      </c>
      <c r="J65" s="223"/>
    </row>
    <row r="66" spans="1:10" hidden="1" x14ac:dyDescent="0.25">
      <c r="A66" s="14">
        <v>43435</v>
      </c>
      <c r="B66" s="25">
        <v>0.14487800000000001</v>
      </c>
      <c r="C66" s="25">
        <v>0.28275400000000001</v>
      </c>
      <c r="F66" s="96">
        <f t="shared" si="2"/>
        <v>1.9516696806968621</v>
      </c>
      <c r="J66" s="223"/>
    </row>
    <row r="67" spans="1:10" hidden="1" x14ac:dyDescent="0.25">
      <c r="A67" s="14">
        <v>43466</v>
      </c>
      <c r="B67" s="25">
        <v>0.17676</v>
      </c>
      <c r="C67" s="25">
        <v>0.34120299999999998</v>
      </c>
      <c r="F67" s="96">
        <f t="shared" si="2"/>
        <v>1.9303179452364787</v>
      </c>
      <c r="J67" s="223"/>
    </row>
    <row r="68" spans="1:10" hidden="1" x14ac:dyDescent="0.25">
      <c r="A68" s="14">
        <v>43497</v>
      </c>
      <c r="B68" s="25">
        <v>0.158163</v>
      </c>
      <c r="C68" s="25">
        <v>0.30865799999999999</v>
      </c>
      <c r="F68" s="96">
        <f t="shared" si="2"/>
        <v>1.9515183702888792</v>
      </c>
      <c r="J68" s="223"/>
    </row>
    <row r="69" spans="1:10" hidden="1" x14ac:dyDescent="0.25">
      <c r="A69" s="14">
        <v>43525</v>
      </c>
      <c r="B69" s="25">
        <v>0.15521299999999999</v>
      </c>
      <c r="C69" s="25">
        <v>0.29896400000000001</v>
      </c>
      <c r="F69" s="96">
        <f t="shared" si="2"/>
        <v>1.9261530928466044</v>
      </c>
      <c r="J69" s="223"/>
    </row>
    <row r="70" spans="1:10" hidden="1" x14ac:dyDescent="0.25">
      <c r="A70" s="14">
        <v>43556</v>
      </c>
      <c r="B70" s="25">
        <v>0.16711100000000001</v>
      </c>
      <c r="C70" s="25">
        <v>0.31870500000000002</v>
      </c>
      <c r="F70" s="96">
        <f t="shared" si="2"/>
        <v>1.9071455499637966</v>
      </c>
      <c r="J70" s="223"/>
    </row>
    <row r="71" spans="1:10" hidden="1" x14ac:dyDescent="0.25">
      <c r="A71" s="14">
        <v>43586</v>
      </c>
      <c r="B71" s="25">
        <v>0.16348799999999999</v>
      </c>
      <c r="C71" s="25">
        <v>0.30765100000000001</v>
      </c>
      <c r="F71" s="96">
        <f t="shared" ref="F71:F78" si="3">C71/B71</f>
        <v>1.8817956057936975</v>
      </c>
      <c r="J71" s="223"/>
    </row>
    <row r="72" spans="1:10" hidden="1" x14ac:dyDescent="0.25">
      <c r="A72" s="14">
        <v>43617</v>
      </c>
      <c r="B72" s="25">
        <v>0.161908</v>
      </c>
      <c r="C72" s="25">
        <v>0.297707</v>
      </c>
      <c r="F72" s="96">
        <f t="shared" si="3"/>
        <v>1.8387417545766731</v>
      </c>
      <c r="J72" s="223"/>
    </row>
    <row r="73" spans="1:10" hidden="1" x14ac:dyDescent="0.25">
      <c r="A73" s="14">
        <v>43647</v>
      </c>
      <c r="B73" s="25">
        <v>0.162604</v>
      </c>
      <c r="C73" s="25">
        <v>0.29565799999999998</v>
      </c>
      <c r="F73" s="96">
        <f t="shared" si="3"/>
        <v>1.8182701532557624</v>
      </c>
      <c r="J73" s="223"/>
    </row>
    <row r="74" spans="1:10" hidden="1" x14ac:dyDescent="0.25">
      <c r="A74" s="14">
        <v>43678</v>
      </c>
      <c r="B74" s="25">
        <v>0.16148399999999999</v>
      </c>
      <c r="C74" s="25">
        <v>0.29683100000000001</v>
      </c>
      <c r="F74" s="96">
        <f t="shared" si="3"/>
        <v>1.838144955537391</v>
      </c>
      <c r="J74" s="223"/>
    </row>
    <row r="75" spans="1:10" hidden="1" x14ac:dyDescent="0.25">
      <c r="A75" s="14">
        <v>43709</v>
      </c>
      <c r="B75" s="25">
        <v>0.156385</v>
      </c>
      <c r="C75" s="25">
        <v>0.29170699999999999</v>
      </c>
      <c r="F75" s="96">
        <f t="shared" si="3"/>
        <v>1.8653131694216196</v>
      </c>
      <c r="J75" s="223"/>
    </row>
    <row r="76" spans="1:10" hidden="1" x14ac:dyDescent="0.25">
      <c r="A76" s="14">
        <v>43739</v>
      </c>
      <c r="B76" s="25">
        <v>0.16267400000000001</v>
      </c>
      <c r="C76" s="25">
        <v>0.30843100000000001</v>
      </c>
      <c r="F76" s="96">
        <f t="shared" si="3"/>
        <v>1.8960067374011826</v>
      </c>
      <c r="J76" s="223"/>
    </row>
    <row r="77" spans="1:10" hidden="1" x14ac:dyDescent="0.25">
      <c r="A77" s="14">
        <v>43770</v>
      </c>
      <c r="B77" s="25">
        <v>0.15013699999999999</v>
      </c>
      <c r="C77" s="25">
        <v>0.28042099999999998</v>
      </c>
      <c r="F77" s="96">
        <f t="shared" si="3"/>
        <v>1.8677674390723138</v>
      </c>
      <c r="J77" s="223"/>
    </row>
    <row r="78" spans="1:10" hidden="1" x14ac:dyDescent="0.25">
      <c r="A78" s="14">
        <v>43800</v>
      </c>
      <c r="B78" s="25">
        <v>0.166405</v>
      </c>
      <c r="C78" s="25">
        <v>0.30911699999999998</v>
      </c>
      <c r="F78" s="96">
        <f t="shared" si="3"/>
        <v>1.8576184609837443</v>
      </c>
      <c r="J78" s="223"/>
    </row>
    <row r="79" spans="1:10" hidden="1" x14ac:dyDescent="0.25">
      <c r="A79" s="14">
        <v>43831</v>
      </c>
      <c r="B79" s="25">
        <v>0.161465</v>
      </c>
      <c r="C79" s="25">
        <v>0.301149</v>
      </c>
      <c r="F79" s="96">
        <f t="shared" ref="F79:F119" si="4">C79/B79</f>
        <v>1.8651038924844394</v>
      </c>
      <c r="J79" s="223"/>
    </row>
    <row r="80" spans="1:10" hidden="1" x14ac:dyDescent="0.25">
      <c r="A80" s="14">
        <v>43862</v>
      </c>
      <c r="B80" s="25">
        <v>0.17650199999999999</v>
      </c>
      <c r="C80" s="25">
        <v>0.32792900000000003</v>
      </c>
      <c r="F80" s="96">
        <f t="shared" si="4"/>
        <v>1.8579336211487691</v>
      </c>
      <c r="J80" s="223"/>
    </row>
    <row r="81" spans="1:10" hidden="1" x14ac:dyDescent="0.25">
      <c r="A81" s="14">
        <v>43891</v>
      </c>
      <c r="B81" s="25">
        <v>0.13070599999999999</v>
      </c>
      <c r="C81" s="25">
        <v>0.23910200000000001</v>
      </c>
      <c r="F81" s="96">
        <f t="shared" si="4"/>
        <v>1.8293115847780517</v>
      </c>
      <c r="J81" s="223"/>
    </row>
    <row r="82" spans="1:10" hidden="1" x14ac:dyDescent="0.25">
      <c r="A82" s="14">
        <v>43922</v>
      </c>
      <c r="B82" s="25">
        <v>0.16373499999999999</v>
      </c>
      <c r="C82" s="25">
        <v>0.29805599999999999</v>
      </c>
      <c r="F82" s="96">
        <f t="shared" si="4"/>
        <v>1.8203560631508231</v>
      </c>
      <c r="J82" s="223"/>
    </row>
    <row r="83" spans="1:10" hidden="1" x14ac:dyDescent="0.25">
      <c r="A83" s="14">
        <v>43952</v>
      </c>
      <c r="B83" s="25">
        <v>0.169212</v>
      </c>
      <c r="C83" s="25">
        <v>0.30066599999999999</v>
      </c>
      <c r="F83" s="96">
        <f t="shared" si="4"/>
        <v>1.7768597971775051</v>
      </c>
      <c r="J83" s="223"/>
    </row>
    <row r="84" spans="1:10" hidden="1" x14ac:dyDescent="0.25">
      <c r="A84" s="14">
        <v>43983</v>
      </c>
      <c r="B84" s="25">
        <v>0.17830799999999999</v>
      </c>
      <c r="C84" s="25">
        <v>0.31653199999999998</v>
      </c>
      <c r="F84" s="96">
        <f t="shared" si="4"/>
        <v>1.7751979720483657</v>
      </c>
      <c r="J84" s="223"/>
    </row>
    <row r="85" spans="1:10" hidden="1" x14ac:dyDescent="0.25">
      <c r="A85" s="14">
        <v>44013</v>
      </c>
      <c r="B85" s="25">
        <v>0.18218599999999999</v>
      </c>
      <c r="C85" s="25">
        <v>0.31456600000000001</v>
      </c>
      <c r="F85" s="96">
        <f t="shared" si="4"/>
        <v>1.7266200476436171</v>
      </c>
      <c r="J85" s="223"/>
    </row>
    <row r="86" spans="1:10" hidden="1" x14ac:dyDescent="0.25">
      <c r="A86" s="14">
        <v>44044</v>
      </c>
      <c r="B86" s="25">
        <v>0.172039</v>
      </c>
      <c r="C86" s="25">
        <v>0.30146099999999998</v>
      </c>
      <c r="F86" s="96">
        <f t="shared" si="4"/>
        <v>1.7522829125953998</v>
      </c>
      <c r="J86" s="223"/>
    </row>
    <row r="87" spans="1:10" hidden="1" x14ac:dyDescent="0.25">
      <c r="A87" s="14">
        <v>44075</v>
      </c>
      <c r="B87" s="25">
        <v>0.163302</v>
      </c>
      <c r="C87" s="25">
        <v>0.29368100000000003</v>
      </c>
      <c r="F87" s="96">
        <f t="shared" si="4"/>
        <v>1.7983919364122916</v>
      </c>
      <c r="J87" s="223"/>
    </row>
    <row r="88" spans="1:10" hidden="1" x14ac:dyDescent="0.25">
      <c r="A88" s="14">
        <v>44105</v>
      </c>
      <c r="B88" s="25">
        <v>0.160167</v>
      </c>
      <c r="C88" s="25">
        <v>0.29680899999999999</v>
      </c>
      <c r="F88" s="96">
        <f t="shared" si="4"/>
        <v>1.8531220538562874</v>
      </c>
      <c r="J88" s="223"/>
    </row>
    <row r="89" spans="1:10" hidden="1" x14ac:dyDescent="0.25">
      <c r="A89" s="14">
        <v>44136</v>
      </c>
      <c r="B89" s="25">
        <v>0.15969</v>
      </c>
      <c r="C89" s="25">
        <v>0.29976000000000003</v>
      </c>
      <c r="F89" s="96">
        <f t="shared" si="4"/>
        <v>1.8771369528461397</v>
      </c>
      <c r="J89" s="223"/>
    </row>
    <row r="90" spans="1:10" hidden="1" x14ac:dyDescent="0.25">
      <c r="A90" s="14">
        <v>44166</v>
      </c>
      <c r="B90" s="25">
        <v>0.167655</v>
      </c>
      <c r="C90" s="25">
        <v>0.309998</v>
      </c>
      <c r="F90" s="96">
        <f t="shared" si="4"/>
        <v>1.8490232918791565</v>
      </c>
      <c r="J90" s="223"/>
    </row>
    <row r="91" spans="1:10" x14ac:dyDescent="0.25">
      <c r="A91" s="14">
        <v>44197</v>
      </c>
      <c r="B91" s="25">
        <v>0.16946700000000001</v>
      </c>
      <c r="C91" s="25">
        <v>0.30942700000000001</v>
      </c>
      <c r="F91" s="96">
        <f t="shared" si="4"/>
        <v>1.8258835053432232</v>
      </c>
      <c r="J91" s="223"/>
    </row>
    <row r="92" spans="1:10" x14ac:dyDescent="0.25">
      <c r="A92" s="14">
        <v>44228</v>
      </c>
      <c r="B92" s="25">
        <v>0.186145</v>
      </c>
      <c r="C92" s="25">
        <v>0.33078000000000002</v>
      </c>
      <c r="F92" s="96">
        <f t="shared" si="4"/>
        <v>1.7770017996722984</v>
      </c>
      <c r="J92" s="223"/>
    </row>
    <row r="93" spans="1:10" x14ac:dyDescent="0.25">
      <c r="A93" s="14">
        <v>44256</v>
      </c>
      <c r="B93" s="25">
        <v>0.17213600000000001</v>
      </c>
      <c r="C93" s="25">
        <v>0.29653600000000002</v>
      </c>
      <c r="F93" s="96">
        <f t="shared" si="4"/>
        <v>1.7226843890876982</v>
      </c>
      <c r="J93" s="223"/>
    </row>
    <row r="94" spans="1:10" x14ac:dyDescent="0.25">
      <c r="A94" s="14">
        <v>44287</v>
      </c>
      <c r="B94" s="25">
        <v>0.16708999999999999</v>
      </c>
      <c r="C94" s="25">
        <v>0.32013200000000003</v>
      </c>
      <c r="F94" s="96">
        <f t="shared" si="4"/>
        <v>1.9159255491052729</v>
      </c>
      <c r="J94" s="223"/>
    </row>
    <row r="95" spans="1:10" x14ac:dyDescent="0.25">
      <c r="A95" s="14">
        <v>44317</v>
      </c>
      <c r="B95" s="25">
        <v>0.16523399999999999</v>
      </c>
      <c r="C95" s="25">
        <v>0.28714899999999999</v>
      </c>
      <c r="F95" s="96">
        <f t="shared" si="4"/>
        <v>1.737832407373785</v>
      </c>
      <c r="J95" s="223"/>
    </row>
    <row r="96" spans="1:10" x14ac:dyDescent="0.25">
      <c r="A96" s="14">
        <v>44348</v>
      </c>
      <c r="B96" s="25">
        <v>0.173377</v>
      </c>
      <c r="C96" s="25">
        <v>0.29790100000000003</v>
      </c>
      <c r="F96" s="96">
        <f t="shared" si="4"/>
        <v>1.7182267544137921</v>
      </c>
      <c r="J96" s="223"/>
    </row>
    <row r="97" spans="1:10" x14ac:dyDescent="0.25">
      <c r="A97" s="14">
        <v>44378</v>
      </c>
      <c r="B97" s="25">
        <v>0.184641</v>
      </c>
      <c r="C97" s="25">
        <v>0.30723800000000001</v>
      </c>
      <c r="F97" s="96">
        <f t="shared" si="4"/>
        <v>1.6639749568080762</v>
      </c>
      <c r="J97" s="223"/>
    </row>
    <row r="98" spans="1:10" x14ac:dyDescent="0.25">
      <c r="A98" s="14">
        <v>44409</v>
      </c>
      <c r="B98" s="25">
        <v>0.18811700000000001</v>
      </c>
      <c r="C98" s="25">
        <v>0.31772299999999998</v>
      </c>
      <c r="F98" s="96">
        <f t="shared" si="4"/>
        <v>1.688964846345625</v>
      </c>
      <c r="J98" s="223"/>
    </row>
    <row r="99" spans="1:10" x14ac:dyDescent="0.25">
      <c r="A99" s="14">
        <v>44440</v>
      </c>
      <c r="B99" s="25">
        <v>0.18661700000000001</v>
      </c>
      <c r="C99" s="25">
        <v>0.32521299999999997</v>
      </c>
      <c r="F99" s="96">
        <f t="shared" si="4"/>
        <v>1.742676176339776</v>
      </c>
      <c r="J99" s="223"/>
    </row>
    <row r="100" spans="1:10" x14ac:dyDescent="0.25">
      <c r="A100" s="14">
        <v>44470</v>
      </c>
      <c r="B100" s="25">
        <v>0.170682</v>
      </c>
      <c r="C100" s="25">
        <v>0.29887999999999998</v>
      </c>
      <c r="F100" s="96">
        <f t="shared" si="4"/>
        <v>1.7510926752674563</v>
      </c>
      <c r="J100" s="223"/>
    </row>
    <row r="101" spans="1:10" x14ac:dyDescent="0.25">
      <c r="A101" s="14">
        <v>44501</v>
      </c>
      <c r="B101" s="25">
        <v>0.17554600000000001</v>
      </c>
      <c r="C101" s="25">
        <v>0.30948199999999998</v>
      </c>
      <c r="F101" s="96">
        <f t="shared" si="4"/>
        <v>1.7629681109224931</v>
      </c>
      <c r="J101" s="223"/>
    </row>
    <row r="102" spans="1:10" x14ac:dyDescent="0.25">
      <c r="A102" s="14">
        <v>44531</v>
      </c>
      <c r="B102" s="25">
        <v>0.17610799999999999</v>
      </c>
      <c r="C102" s="25">
        <v>0.31282700000000002</v>
      </c>
      <c r="F102" s="96">
        <f t="shared" si="4"/>
        <v>1.7763361119313152</v>
      </c>
      <c r="J102" s="223"/>
    </row>
    <row r="103" spans="1:10" x14ac:dyDescent="0.25">
      <c r="A103" s="14">
        <v>44562</v>
      </c>
      <c r="B103" s="25">
        <v>0.184781</v>
      </c>
      <c r="C103" s="25">
        <v>0.32700400000000002</v>
      </c>
      <c r="F103" s="96">
        <f t="shared" si="4"/>
        <v>1.7696841125440388</v>
      </c>
      <c r="J103" s="223"/>
    </row>
    <row r="104" spans="1:10" x14ac:dyDescent="0.25">
      <c r="A104" s="14">
        <v>44593</v>
      </c>
      <c r="B104" s="25">
        <v>0.18099000000000001</v>
      </c>
      <c r="C104" s="25">
        <v>0.32067600000000002</v>
      </c>
      <c r="F104" s="96">
        <f t="shared" si="4"/>
        <v>1.7717884966020221</v>
      </c>
      <c r="J104" s="223"/>
    </row>
    <row r="105" spans="1:10" x14ac:dyDescent="0.25">
      <c r="A105" s="14">
        <v>44621</v>
      </c>
      <c r="B105" s="25">
        <v>0.18077299999999999</v>
      </c>
      <c r="C105" s="25">
        <v>0.32190600000000003</v>
      </c>
      <c r="F105" s="96">
        <f t="shared" si="4"/>
        <v>1.7807194658494356</v>
      </c>
      <c r="J105" s="223"/>
    </row>
    <row r="106" spans="1:10" x14ac:dyDescent="0.25">
      <c r="A106" s="14">
        <v>44652</v>
      </c>
      <c r="B106" s="25">
        <v>0.184587</v>
      </c>
      <c r="C106" s="25">
        <v>0.326075</v>
      </c>
      <c r="F106" s="96">
        <f t="shared" si="4"/>
        <v>1.7665111844279391</v>
      </c>
      <c r="J106" s="223"/>
    </row>
    <row r="107" spans="1:10" x14ac:dyDescent="0.25">
      <c r="A107" s="14">
        <v>44682</v>
      </c>
      <c r="B107" s="25">
        <v>0.16950999999999999</v>
      </c>
      <c r="C107" s="25">
        <v>0.30047299999999999</v>
      </c>
      <c r="F107" s="96">
        <f t="shared" si="4"/>
        <v>1.7725974868739307</v>
      </c>
      <c r="J107" s="223"/>
    </row>
    <row r="108" spans="1:10" x14ac:dyDescent="0.25">
      <c r="A108" s="14">
        <v>44713</v>
      </c>
      <c r="B108" s="25">
        <v>0.189916</v>
      </c>
      <c r="C108" s="25">
        <v>0.33168500000000001</v>
      </c>
      <c r="F108" s="96">
        <f t="shared" si="4"/>
        <v>1.7464826554897954</v>
      </c>
      <c r="J108" s="223"/>
    </row>
    <row r="109" spans="1:10" x14ac:dyDescent="0.25">
      <c r="A109" s="14">
        <v>44743</v>
      </c>
      <c r="B109" s="25">
        <v>0.18571499999999999</v>
      </c>
      <c r="C109" s="25">
        <v>0.31830399999999998</v>
      </c>
      <c r="F109" s="96">
        <f t="shared" si="4"/>
        <v>1.713938023315295</v>
      </c>
      <c r="J109" s="223"/>
    </row>
    <row r="110" spans="1:10" x14ac:dyDescent="0.25">
      <c r="A110" s="14">
        <v>44774</v>
      </c>
      <c r="B110" s="25">
        <v>0.19325300000000001</v>
      </c>
      <c r="C110" s="25">
        <v>0.33065099999999997</v>
      </c>
      <c r="F110" s="96">
        <f t="shared" si="4"/>
        <v>1.7109747326044096</v>
      </c>
      <c r="J110" s="223"/>
    </row>
    <row r="111" spans="1:10" x14ac:dyDescent="0.25">
      <c r="A111" s="14">
        <v>44805</v>
      </c>
      <c r="B111" s="25">
        <v>0.29428100000000001</v>
      </c>
      <c r="C111" s="25">
        <v>0.278117</v>
      </c>
      <c r="F111" s="96">
        <f t="shared" si="4"/>
        <v>0.94507290650772557</v>
      </c>
      <c r="J111" s="223"/>
    </row>
    <row r="112" spans="1:10" x14ac:dyDescent="0.25">
      <c r="A112" s="14">
        <v>44835</v>
      </c>
      <c r="B112" s="25">
        <v>0.25960100000000003</v>
      </c>
      <c r="C112" s="25">
        <v>0.25615100000000002</v>
      </c>
      <c r="F112" s="96">
        <f t="shared" ref="F112" si="5">C112/B112</f>
        <v>0.98671037476743151</v>
      </c>
      <c r="J112" s="223"/>
    </row>
    <row r="113" spans="1:10" x14ac:dyDescent="0.25">
      <c r="A113" s="14">
        <v>44866</v>
      </c>
      <c r="B113" s="25">
        <v>0.194795</v>
      </c>
      <c r="C113" s="25">
        <v>0.35031899999999999</v>
      </c>
      <c r="F113" s="255">
        <f t="shared" si="4"/>
        <v>1.7983983161785466</v>
      </c>
      <c r="J113" s="223"/>
    </row>
    <row r="114" spans="1:10" x14ac:dyDescent="0.25">
      <c r="A114" s="14">
        <v>44896</v>
      </c>
      <c r="B114" s="25">
        <v>0.13656199999999999</v>
      </c>
      <c r="C114" s="25">
        <v>0.24711</v>
      </c>
      <c r="F114" s="255">
        <f t="shared" si="4"/>
        <v>1.8095077693648307</v>
      </c>
    </row>
    <row r="115" spans="1:10" x14ac:dyDescent="0.25">
      <c r="A115" s="14">
        <v>44927</v>
      </c>
      <c r="B115" s="25">
        <v>0.22236600000000001</v>
      </c>
      <c r="C115" s="25">
        <v>0.392758</v>
      </c>
      <c r="F115" s="255">
        <f t="shared" si="4"/>
        <v>1.7662682244587751</v>
      </c>
    </row>
    <row r="116" spans="1:10" x14ac:dyDescent="0.25">
      <c r="A116" s="14">
        <v>44958</v>
      </c>
      <c r="B116" s="25">
        <v>0.190855</v>
      </c>
      <c r="C116" s="25">
        <v>0.319992</v>
      </c>
      <c r="F116" s="255">
        <f t="shared" si="4"/>
        <v>1.6766236147860942</v>
      </c>
    </row>
    <row r="117" spans="1:10" x14ac:dyDescent="0.25">
      <c r="A117" s="14">
        <v>44986</v>
      </c>
      <c r="B117" s="25">
        <v>0.19927400000000001</v>
      </c>
      <c r="C117" s="25">
        <v>0.35046500000000003</v>
      </c>
      <c r="F117" s="255">
        <f t="shared" si="4"/>
        <v>1.7587091140841256</v>
      </c>
    </row>
    <row r="118" spans="1:10" x14ac:dyDescent="0.25">
      <c r="A118" s="14">
        <v>45017</v>
      </c>
      <c r="B118" s="25">
        <v>0.23678299999999999</v>
      </c>
      <c r="C118" s="25">
        <v>0.41017100000000001</v>
      </c>
      <c r="F118" s="255">
        <f t="shared" si="4"/>
        <v>1.7322654075672663</v>
      </c>
    </row>
    <row r="119" spans="1:10" x14ac:dyDescent="0.25">
      <c r="A119" s="14">
        <v>45047</v>
      </c>
      <c r="B119" s="25">
        <v>0.21531</v>
      </c>
      <c r="C119" s="25">
        <v>0.361763</v>
      </c>
      <c r="F119" s="255">
        <f t="shared" si="4"/>
        <v>1.6801959964702058</v>
      </c>
    </row>
    <row r="120" spans="1:10" x14ac:dyDescent="0.25">
      <c r="A120" s="14">
        <v>45078</v>
      </c>
      <c r="B120" s="25">
        <v>0.29416700000000001</v>
      </c>
      <c r="C120" s="25">
        <v>0.48411900000000002</v>
      </c>
      <c r="F120" s="255">
        <f t="shared" ref="F120" si="6">C120/B120</f>
        <v>1.6457284467666327</v>
      </c>
    </row>
    <row r="121" spans="1:10" x14ac:dyDescent="0.25">
      <c r="A121" s="14">
        <v>45108</v>
      </c>
      <c r="B121" s="25">
        <v>0.22546099999999999</v>
      </c>
      <c r="C121" s="25">
        <v>0.38143899999999997</v>
      </c>
      <c r="F121" s="255">
        <f t="shared" ref="F121:F147" si="7">C121/B121</f>
        <v>1.6918180971431866</v>
      </c>
    </row>
    <row r="122" spans="1:10" x14ac:dyDescent="0.25">
      <c r="A122" s="14">
        <v>45139</v>
      </c>
      <c r="B122" s="25">
        <v>0.31855699999999998</v>
      </c>
      <c r="C122" s="25">
        <v>0.56603999999999999</v>
      </c>
      <c r="F122" s="255">
        <f t="shared" si="7"/>
        <v>1.7768876527591608</v>
      </c>
    </row>
    <row r="123" spans="1:10" x14ac:dyDescent="0.25">
      <c r="A123" s="14">
        <v>45170</v>
      </c>
      <c r="B123" s="25">
        <v>0.28491499999999997</v>
      </c>
      <c r="C123" s="25">
        <v>0.47492000000000001</v>
      </c>
      <c r="F123" s="255">
        <f t="shared" si="7"/>
        <v>1.6668831054876017</v>
      </c>
    </row>
    <row r="124" spans="1:10" x14ac:dyDescent="0.25">
      <c r="A124" s="14">
        <v>45200</v>
      </c>
      <c r="B124" s="25">
        <v>0.189442</v>
      </c>
      <c r="C124" s="25">
        <v>0.330953</v>
      </c>
      <c r="F124" s="255">
        <f t="shared" si="7"/>
        <v>1.746988524192101</v>
      </c>
    </row>
    <row r="125" spans="1:10" x14ac:dyDescent="0.25">
      <c r="A125" s="14">
        <v>45231</v>
      </c>
      <c r="B125" s="25">
        <v>0.200434</v>
      </c>
      <c r="C125" s="25">
        <v>0.35803600000000002</v>
      </c>
      <c r="F125" s="255">
        <f t="shared" si="7"/>
        <v>1.7863037209255916</v>
      </c>
    </row>
    <row r="126" spans="1:10" x14ac:dyDescent="0.25">
      <c r="A126" s="14">
        <v>45261</v>
      </c>
      <c r="B126" s="25">
        <v>0.179337</v>
      </c>
      <c r="C126" s="25">
        <v>0.31408700000000001</v>
      </c>
      <c r="F126" s="255">
        <f t="shared" si="7"/>
        <v>1.7513786892833048</v>
      </c>
    </row>
    <row r="127" spans="1:10" x14ac:dyDescent="0.25">
      <c r="A127" s="14">
        <v>45292</v>
      </c>
      <c r="B127" s="25">
        <v>0.19153300000000001</v>
      </c>
      <c r="C127" s="25">
        <v>0.33412700000000001</v>
      </c>
      <c r="F127" s="255">
        <f t="shared" si="7"/>
        <v>1.7444878950363645</v>
      </c>
    </row>
    <row r="128" spans="1:10" x14ac:dyDescent="0.25">
      <c r="A128" s="14">
        <v>45323</v>
      </c>
      <c r="B128" s="25">
        <v>0.194215</v>
      </c>
      <c r="C128" s="25">
        <v>0.33216299999999999</v>
      </c>
      <c r="F128" s="255">
        <f t="shared" si="7"/>
        <v>1.7102849934351105</v>
      </c>
    </row>
    <row r="129" spans="1:6" x14ac:dyDescent="0.25">
      <c r="A129" s="14">
        <v>45352</v>
      </c>
      <c r="B129" s="25">
        <v>0.20252700000000001</v>
      </c>
      <c r="C129" s="25">
        <v>0.34077000000000002</v>
      </c>
      <c r="F129" s="255">
        <f t="shared" si="7"/>
        <v>1.6825904694188922</v>
      </c>
    </row>
    <row r="130" spans="1:6" x14ac:dyDescent="0.25">
      <c r="A130" s="14">
        <v>45383</v>
      </c>
      <c r="B130" s="25">
        <v>0.16612399999999999</v>
      </c>
      <c r="C130" s="25">
        <v>0.28236</v>
      </c>
      <c r="F130" s="255">
        <f t="shared" si="7"/>
        <v>1.6996942043292962</v>
      </c>
    </row>
    <row r="131" spans="1:6" x14ac:dyDescent="0.25">
      <c r="A131" s="14">
        <v>45413</v>
      </c>
      <c r="B131" s="25">
        <v>0.169932</v>
      </c>
      <c r="C131" s="25">
        <v>0.28758</v>
      </c>
      <c r="F131" s="255">
        <f t="shared" si="7"/>
        <v>1.692323988418897</v>
      </c>
    </row>
    <row r="132" spans="1:6" x14ac:dyDescent="0.25">
      <c r="A132" s="14">
        <v>45444</v>
      </c>
      <c r="B132" s="25">
        <v>0.18463499999999999</v>
      </c>
      <c r="C132" s="25">
        <v>0.30538700000000002</v>
      </c>
      <c r="F132" s="255">
        <f t="shared" si="7"/>
        <v>1.6540038454247572</v>
      </c>
    </row>
    <row r="133" spans="1:6" x14ac:dyDescent="0.25">
      <c r="A133" s="14">
        <v>45474</v>
      </c>
      <c r="B133" s="25">
        <v>0.180337</v>
      </c>
      <c r="C133" s="25">
        <v>0.29386800000000002</v>
      </c>
      <c r="F133" s="255">
        <f t="shared" si="7"/>
        <v>1.6295491219217355</v>
      </c>
    </row>
    <row r="134" spans="1:6" x14ac:dyDescent="0.25">
      <c r="A134" s="14">
        <v>45505</v>
      </c>
      <c r="B134" s="25">
        <v>0.17039399999999999</v>
      </c>
      <c r="C134" s="25">
        <v>0.27133800000000002</v>
      </c>
      <c r="F134" s="255">
        <f t="shared" si="7"/>
        <v>1.5924152258882358</v>
      </c>
    </row>
    <row r="135" spans="1:6" x14ac:dyDescent="0.25">
      <c r="A135" s="14">
        <v>45536</v>
      </c>
      <c r="B135" s="25">
        <v>0.15028</v>
      </c>
      <c r="C135" s="25">
        <v>0.24710799999999999</v>
      </c>
      <c r="F135" s="255">
        <f t="shared" si="7"/>
        <v>1.6443172744210806</v>
      </c>
    </row>
    <row r="136" spans="1:6" x14ac:dyDescent="0.25">
      <c r="A136" s="14">
        <v>45566</v>
      </c>
      <c r="B136" s="25">
        <v>0.15873399999999999</v>
      </c>
      <c r="C136" s="25">
        <v>0.26858500000000002</v>
      </c>
      <c r="F136" s="255">
        <f t="shared" si="7"/>
        <v>1.6920445525218293</v>
      </c>
    </row>
    <row r="137" spans="1:6" x14ac:dyDescent="0.25">
      <c r="A137" s="14">
        <v>45597</v>
      </c>
      <c r="B137" s="25">
        <v>0.13459399999999999</v>
      </c>
      <c r="C137" s="25">
        <v>0.22809399999999999</v>
      </c>
      <c r="F137" s="255">
        <f t="shared" si="7"/>
        <v>1.6946817837347876</v>
      </c>
    </row>
    <row r="138" spans="1:6" x14ac:dyDescent="0.25">
      <c r="A138" s="14">
        <v>45627</v>
      </c>
      <c r="B138" s="25">
        <v>0.156751</v>
      </c>
      <c r="C138" s="25">
        <v>0.264677</v>
      </c>
      <c r="F138" s="255">
        <f t="shared" si="7"/>
        <v>1.6885187335328005</v>
      </c>
    </row>
    <row r="139" spans="1:6" x14ac:dyDescent="0.25">
      <c r="A139" s="14">
        <v>45658</v>
      </c>
      <c r="B139" s="25">
        <v>0.16590299999999999</v>
      </c>
      <c r="C139" s="25">
        <v>0.27596700000000002</v>
      </c>
      <c r="F139" s="255">
        <f t="shared" si="7"/>
        <v>1.6634238078877417</v>
      </c>
    </row>
    <row r="140" spans="1:6" x14ac:dyDescent="0.25">
      <c r="A140" s="14">
        <v>45689</v>
      </c>
      <c r="B140" s="25">
        <v>0.13581499999999999</v>
      </c>
      <c r="C140" s="25">
        <v>0.22577900000000001</v>
      </c>
      <c r="F140" s="255">
        <f t="shared" si="7"/>
        <v>1.6624010602658028</v>
      </c>
    </row>
    <row r="141" spans="1:6" x14ac:dyDescent="0.25">
      <c r="A141" s="14">
        <v>45717</v>
      </c>
      <c r="B141" s="25">
        <v>0.13731599999999999</v>
      </c>
      <c r="C141" s="25">
        <v>0.22591700000000001</v>
      </c>
      <c r="F141" s="255">
        <f t="shared" si="7"/>
        <v>1.6452343499665008</v>
      </c>
    </row>
    <row r="142" spans="1:6" x14ac:dyDescent="0.25">
      <c r="A142" s="14">
        <v>45748</v>
      </c>
      <c r="B142" s="25">
        <v>0.164406</v>
      </c>
      <c r="C142" s="25">
        <v>0.26031599999999999</v>
      </c>
      <c r="F142" s="255">
        <f t="shared" si="7"/>
        <v>1.5833728696032991</v>
      </c>
    </row>
    <row r="143" spans="1:6" x14ac:dyDescent="0.25">
      <c r="A143" s="14">
        <v>45778</v>
      </c>
      <c r="B143" s="25">
        <v>0.22048799999999999</v>
      </c>
      <c r="C143" s="25">
        <v>0.36788999999999999</v>
      </c>
      <c r="F143" s="255">
        <f t="shared" si="7"/>
        <v>1.6685261782954175</v>
      </c>
    </row>
    <row r="144" spans="1:6" x14ac:dyDescent="0.25">
      <c r="A144" s="14">
        <v>45809</v>
      </c>
      <c r="B144" s="25">
        <v>0.19037799999999999</v>
      </c>
      <c r="C144" s="25">
        <v>0.31047000000000002</v>
      </c>
      <c r="F144" s="255">
        <f t="shared" si="7"/>
        <v>1.6308081816176241</v>
      </c>
    </row>
    <row r="145" spans="1:11" x14ac:dyDescent="0.25">
      <c r="A145" s="14">
        <v>45839</v>
      </c>
      <c r="B145" s="25">
        <v>0.163878</v>
      </c>
      <c r="C145" s="25">
        <v>0.26559500000000003</v>
      </c>
      <c r="F145" s="255">
        <f t="shared" si="7"/>
        <v>1.6206873405826288</v>
      </c>
    </row>
    <row r="146" spans="1:11" x14ac:dyDescent="0.25">
      <c r="A146" s="14">
        <v>45870</v>
      </c>
      <c r="B146" s="25">
        <v>0.146621</v>
      </c>
      <c r="C146" s="25">
        <v>0.23671300000000001</v>
      </c>
      <c r="F146" s="255">
        <f t="shared" si="7"/>
        <v>1.614454955292898</v>
      </c>
    </row>
    <row r="147" spans="1:11" x14ac:dyDescent="0.25">
      <c r="A147" s="14">
        <v>45901</v>
      </c>
      <c r="B147" s="25">
        <v>0.126443</v>
      </c>
      <c r="C147" s="25">
        <v>0.20732300000000001</v>
      </c>
      <c r="F147" s="255">
        <f t="shared" si="7"/>
        <v>1.6396558132913646</v>
      </c>
    </row>
    <row r="148" spans="1:11" x14ac:dyDescent="0.25">
      <c r="A148" s="14"/>
      <c r="B148" s="25"/>
      <c r="C148" s="25"/>
      <c r="F148" s="255"/>
    </row>
    <row r="149" spans="1:11" x14ac:dyDescent="0.25">
      <c r="A149" s="14"/>
      <c r="B149" s="25"/>
      <c r="C149" s="25"/>
      <c r="F149" s="255"/>
    </row>
    <row r="150" spans="1:11" x14ac:dyDescent="0.25">
      <c r="A150" s="14"/>
      <c r="B150" s="25"/>
      <c r="C150" s="25"/>
      <c r="F150" s="255"/>
    </row>
    <row r="151" spans="1:11" x14ac:dyDescent="0.25">
      <c r="A151" s="256"/>
    </row>
    <row r="152" spans="1:11" ht="90" x14ac:dyDescent="0.25">
      <c r="A152" s="27" t="str">
        <f>Pooling_Month</f>
        <v>November 2025</v>
      </c>
      <c r="B152" s="20" t="s">
        <v>133</v>
      </c>
      <c r="C152" s="20" t="s">
        <v>134</v>
      </c>
    </row>
    <row r="153" spans="1:11" x14ac:dyDescent="0.25">
      <c r="A153" s="31" t="s">
        <v>60</v>
      </c>
      <c r="B153" s="32">
        <f>B158</f>
        <v>0.11075699999999999</v>
      </c>
      <c r="C153" s="32">
        <f>C158</f>
        <v>0.188309</v>
      </c>
      <c r="E153" s="30"/>
      <c r="F153" s="96">
        <f t="shared" ref="F153" si="8">C153/B153</f>
        <v>1.7001995359209803</v>
      </c>
    </row>
    <row r="154" spans="1:11" ht="18" customHeight="1" x14ac:dyDescent="0.25"/>
    <row r="155" spans="1:11" hidden="1" x14ac:dyDescent="0.25">
      <c r="E155" t="s">
        <v>194</v>
      </c>
    </row>
    <row r="156" spans="1:11" ht="30" hidden="1" x14ac:dyDescent="0.25">
      <c r="A156" s="40" t="s">
        <v>214</v>
      </c>
      <c r="B156" s="95">
        <f>B137-B135</f>
        <v>-1.5686000000000005E-2</v>
      </c>
      <c r="C156" s="95">
        <f>C137-C135</f>
        <v>-1.9014000000000003E-2</v>
      </c>
      <c r="F156" t="s">
        <v>189</v>
      </c>
    </row>
    <row r="157" spans="1:11" ht="15.75" hidden="1" thickBot="1" x14ac:dyDescent="0.3">
      <c r="A157" s="93" t="s">
        <v>215</v>
      </c>
      <c r="B157" s="95">
        <f>B147</f>
        <v>0.126443</v>
      </c>
      <c r="C157" s="95">
        <f>C147</f>
        <v>0.20732300000000001</v>
      </c>
      <c r="F157" s="255">
        <f t="shared" ref="F157" si="9">C157/B157</f>
        <v>1.6396558132913646</v>
      </c>
    </row>
    <row r="158" spans="1:11" ht="15.75" hidden="1" thickBot="1" x14ac:dyDescent="0.3">
      <c r="A158" s="269" t="s">
        <v>211</v>
      </c>
      <c r="B158" s="95">
        <f>SUM(B156:B157)</f>
        <v>0.11075699999999999</v>
      </c>
      <c r="C158" s="95">
        <f>SUM(C156:C157)</f>
        <v>0.188309</v>
      </c>
      <c r="E158" s="262" t="s">
        <v>199</v>
      </c>
      <c r="F158" s="263">
        <f t="shared" ref="F158:F159" si="10">C158/B158</f>
        <v>1.7001995359209803</v>
      </c>
      <c r="G158" s="264"/>
      <c r="H158" s="264"/>
      <c r="I158" s="264"/>
      <c r="J158" s="265"/>
      <c r="K158" s="266"/>
    </row>
    <row r="159" spans="1:11" hidden="1" x14ac:dyDescent="0.25">
      <c r="A159" s="92" t="s">
        <v>206</v>
      </c>
      <c r="B159" s="95">
        <f>B137</f>
        <v>0.13459399999999999</v>
      </c>
      <c r="C159" s="95">
        <f>C137</f>
        <v>0.22809399999999999</v>
      </c>
      <c r="F159" s="96">
        <f t="shared" si="10"/>
        <v>1.6946817837347876</v>
      </c>
    </row>
    <row r="160" spans="1:11" hidden="1" x14ac:dyDescent="0.25">
      <c r="A160" t="s">
        <v>83</v>
      </c>
      <c r="B160" s="95">
        <f>AVERAGE(B158:B159)</f>
        <v>0.12267549999999999</v>
      </c>
      <c r="C160" s="95">
        <f>AVERAGE(C158:C159)</f>
        <v>0.20820149999999998</v>
      </c>
      <c r="F160" s="96">
        <f>C160/B160</f>
        <v>1.6971726220802035</v>
      </c>
    </row>
    <row r="161" spans="1:6" hidden="1" x14ac:dyDescent="0.25">
      <c r="B161" s="95"/>
      <c r="C161" s="95"/>
      <c r="F161" s="96" t="e">
        <f t="shared" ref="F161" si="11">C161/B161</f>
        <v>#DIV/0!</v>
      </c>
    </row>
    <row r="162" spans="1:6" hidden="1" x14ac:dyDescent="0.25">
      <c r="A162" s="92" t="s">
        <v>207</v>
      </c>
      <c r="B162" s="95">
        <f>B125</f>
        <v>0.200434</v>
      </c>
      <c r="C162" s="95">
        <f>C125</f>
        <v>0.35803600000000002</v>
      </c>
      <c r="F162" s="97" t="e">
        <f>AVERAGE(F158:F161)</f>
        <v>#DIV/0!</v>
      </c>
    </row>
    <row r="163" spans="1:6" hidden="1" x14ac:dyDescent="0.25">
      <c r="A163" s="91" t="s">
        <v>208</v>
      </c>
      <c r="B163" s="25">
        <f>B113</f>
        <v>0.194795</v>
      </c>
      <c r="C163" s="25">
        <f>C112</f>
        <v>0.25615100000000002</v>
      </c>
    </row>
    <row r="164" spans="1:6" ht="30" hidden="1" x14ac:dyDescent="0.25">
      <c r="A164" s="40" t="s">
        <v>209</v>
      </c>
      <c r="B164" s="25">
        <f>AVERAGE(B158,B159,B162,B163)</f>
        <v>0.16014499999999998</v>
      </c>
      <c r="C164" s="25">
        <f>AVERAGE(C158,C159,C162,C163)</f>
        <v>0.25764750000000003</v>
      </c>
      <c r="F164" s="96">
        <f>C164/B164</f>
        <v>1.6088388647787946</v>
      </c>
    </row>
    <row r="165" spans="1:6" hidden="1" x14ac:dyDescent="0.25">
      <c r="A165" s="40" t="s">
        <v>212</v>
      </c>
      <c r="B165" s="25">
        <f>AVERAGE(B158,B159,B162)</f>
        <v>0.148595</v>
      </c>
      <c r="C165" s="25">
        <f>AVERAGE(C158,C159,C162)</f>
        <v>0.25814633333333331</v>
      </c>
      <c r="F165" s="96">
        <f>C165/B165</f>
        <v>1.73724777639445</v>
      </c>
    </row>
    <row r="166" spans="1:6" hidden="1" x14ac:dyDescent="0.25"/>
  </sheetData>
  <sheetProtection algorithmName="SHA-512" hashValue="SUh76KB9h8V6d7gs+u+VyLD3xHnVsXQ2pcvBWtdQQ+nOfmawk135+Y9dSfOqXInRRoM+sX298pKaTl4+E2BgOA==" saltValue="iKn7XAYDMsAA66vgtGNAa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39</vt:i4>
      </vt:variant>
    </vt:vector>
  </HeadingPairs>
  <TitlesOfParts>
    <vt:vector size="50" baseType="lpstr">
      <vt:lpstr>Disclaimer</vt:lpstr>
      <vt:lpstr>Dairy Revenue Estimator</vt:lpstr>
      <vt:lpstr>Quota Price Estimator</vt:lpstr>
      <vt:lpstr>Assumptions Summary</vt:lpstr>
      <vt:lpstr>Monthly Utilization by Class</vt:lpstr>
      <vt:lpstr>Monthly Pool Butterfat Percent</vt:lpstr>
      <vt:lpstr>Monthly Avg Daily Production</vt:lpstr>
      <vt:lpstr>Monthly Excess Milk Percentage</vt:lpstr>
      <vt:lpstr>Percent Cls I Package Surplus</vt:lpstr>
      <vt:lpstr>Perc Cls I Pckg Surp Contiguous</vt:lpstr>
      <vt:lpstr>Perc Bulk Surp of Pool Rec</vt:lpstr>
      <vt:lpstr>Butterfat_Production</vt:lpstr>
      <vt:lpstr>Dairy_Daily_Quota</vt:lpstr>
      <vt:lpstr>DairyButterfatPercent</vt:lpstr>
      <vt:lpstr>DaysPerMonth</vt:lpstr>
      <vt:lpstr>Est_Dairy_Daily_Production</vt:lpstr>
      <vt:lpstr>EstBulkSurpPoolMilkUtPerc</vt:lpstr>
      <vt:lpstr>EstClsIBFUtPerc</vt:lpstr>
      <vt:lpstr>EstClsIIBFUtPerc</vt:lpstr>
      <vt:lpstr>EstClsIIIBFUtPerc</vt:lpstr>
      <vt:lpstr>EstClsIIISkimUtPerc</vt:lpstr>
      <vt:lpstr>EstClsIISkimUTPerc</vt:lpstr>
      <vt:lpstr>EstClsIPckgSurpPoolBFUtPerc</vt:lpstr>
      <vt:lpstr>EstClsIPckgSurpPoolSkimUtPerc</vt:lpstr>
      <vt:lpstr>EstClsISkimUtPerc</vt:lpstr>
      <vt:lpstr>ExcessButterfatPrice</vt:lpstr>
      <vt:lpstr>ExcessSkimPrice</vt:lpstr>
      <vt:lpstr>MTClassIButterfatPrice</vt:lpstr>
      <vt:lpstr>MTClassIIButterfatPrice</vt:lpstr>
      <vt:lpstr>MTClassIIIButterfatPrice</vt:lpstr>
      <vt:lpstr>MTClassIIIMilkPrice</vt:lpstr>
      <vt:lpstr>MTClassIIISkimPrice</vt:lpstr>
      <vt:lpstr>MTClassIIMilkPrice</vt:lpstr>
      <vt:lpstr>MTClassIISkimPrice</vt:lpstr>
      <vt:lpstr>MTClassIMilkPrice</vt:lpstr>
      <vt:lpstr>MTClassISkimPrice</vt:lpstr>
      <vt:lpstr>PercClsIPckgSurptoContigStates</vt:lpstr>
      <vt:lpstr>PoolButterfatPercent</vt:lpstr>
      <vt:lpstr>PoolDailyProd</vt:lpstr>
      <vt:lpstr>Pooling_Month</vt:lpstr>
      <vt:lpstr>PoolOverQuotaProdPerc</vt:lpstr>
      <vt:lpstr>'Assumptions Summary'!Print_Area</vt:lpstr>
      <vt:lpstr>'Dairy Revenue Estimator'!Print_Area</vt:lpstr>
      <vt:lpstr>'Quota Price Estimator'!Print_Area</vt:lpstr>
      <vt:lpstr>'Quota Price Estimator'!Print_Titles</vt:lpstr>
      <vt:lpstr>QuotaButterfatPrice</vt:lpstr>
      <vt:lpstr>QuotaSkimPrice</vt:lpstr>
      <vt:lpstr>Skim_Production</vt:lpstr>
      <vt:lpstr>SurplusAdjustmentBulkSales</vt:lpstr>
      <vt:lpstr>SurplusAdjustmentPckgClassI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Peder Lee</dc:creator>
  <cp:lastModifiedBy>Satre, Michele</cp:lastModifiedBy>
  <cp:lastPrinted>2023-10-19T21:51:35Z</cp:lastPrinted>
  <dcterms:created xsi:type="dcterms:W3CDTF">2014-12-29T18:31:14Z</dcterms:created>
  <dcterms:modified xsi:type="dcterms:W3CDTF">2025-10-22T20:02:58Z</dcterms:modified>
</cp:coreProperties>
</file>