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entliv0002\Share\MILKCTRL\1. MCB Programs\PRICE ANNOUNCEMENT\MT Quota Price and Dairy Revenue Estimator\2025\"/>
    </mc:Choice>
  </mc:AlternateContent>
  <xr:revisionPtr revIDLastSave="0" documentId="13_ncr:1_{8033ED99-A816-49EA-AFE5-654411C348C9}" xr6:coauthVersionLast="47" xr6:coauthVersionMax="47" xr10:uidLastSave="{00000000-0000-0000-0000-000000000000}"/>
  <bookViews>
    <workbookView xWindow="-12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Rec'!$B$147</definedName>
    <definedName name="EstClsIBFUtPerc">'Monthly Utilization by Class'!$B$126</definedName>
    <definedName name="EstClsIIBFUtPerc">'Monthly Utilization by Class'!$C$126</definedName>
    <definedName name="EstClsIIIBFUtPerc">'Monthly Utilization by Class'!$D$126</definedName>
    <definedName name="EstClsIIISkimUtPerc">'Monthly Utilization by Class'!$J$126</definedName>
    <definedName name="EstClsIISkimUTPerc">'Monthly Utilization by Class'!$I$126</definedName>
    <definedName name="EstClsIPckgSurpPoolBFUtPerc">'Percent Cls I Package Surplus'!$B$151</definedName>
    <definedName name="EstClsIPckgSurpPoolSkimUtPerc">'Percent Cls I Package Surplus'!$C$151</definedName>
    <definedName name="EstClsISkimUtPerc">'Monthly Utilization by Class'!$H$126</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Contiguous'!$B$124</definedName>
    <definedName name="PoolButterfatPercent">'Monthly Pool Butterfat Percent'!$B$147</definedName>
    <definedName name="PoolDailyProd">'Monthly Avg Daily Production'!$B$147</definedName>
    <definedName name="Pooling_Month">'Quota Price Estimator'!$B$4</definedName>
    <definedName name="PoolOverQuotaProdPerc">'Monthly Excess Milk Percentage'!$B$147</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5" i="5" l="1"/>
  <c r="B154" i="5"/>
  <c r="B153" i="5"/>
  <c r="B151" i="5"/>
  <c r="B150" i="5"/>
  <c r="B154" i="4"/>
  <c r="B152" i="4"/>
  <c r="B151" i="4"/>
  <c r="B153" i="3"/>
  <c r="B151" i="3"/>
  <c r="B150" i="3"/>
  <c r="C136" i="2"/>
  <c r="D136" i="2"/>
  <c r="E136" i="2"/>
  <c r="H136" i="2"/>
  <c r="I136" i="2"/>
  <c r="J136" i="2"/>
  <c r="K136" i="2"/>
  <c r="C135" i="2"/>
  <c r="D135" i="2"/>
  <c r="E135" i="2"/>
  <c r="H135" i="2"/>
  <c r="I135" i="2"/>
  <c r="J135" i="2"/>
  <c r="K135" i="2"/>
  <c r="C132" i="2"/>
  <c r="D132" i="2"/>
  <c r="E132" i="2"/>
  <c r="H132" i="2"/>
  <c r="I132" i="2"/>
  <c r="J132" i="2"/>
  <c r="C131" i="2"/>
  <c r="C137" i="2" s="1"/>
  <c r="D131" i="2"/>
  <c r="D137" i="2" s="1"/>
  <c r="E131" i="2"/>
  <c r="H131" i="2"/>
  <c r="I131" i="2"/>
  <c r="J131" i="2"/>
  <c r="C130" i="2"/>
  <c r="D130" i="2"/>
  <c r="E130" i="2"/>
  <c r="H130" i="2"/>
  <c r="I130" i="2"/>
  <c r="J130" i="2"/>
  <c r="K130" i="2"/>
  <c r="E129" i="2"/>
  <c r="H129" i="2"/>
  <c r="I129" i="2"/>
  <c r="J129" i="2"/>
  <c r="K129" i="2"/>
  <c r="C129" i="2"/>
  <c r="D129" i="2"/>
  <c r="B136" i="2"/>
  <c r="B135" i="2"/>
  <c r="B132" i="2"/>
  <c r="B130" i="2"/>
  <c r="B129" i="2"/>
  <c r="F144" i="6"/>
  <c r="K119" i="2" l="1"/>
  <c r="E119" i="2"/>
  <c r="B157" i="7" l="1"/>
  <c r="B156" i="7"/>
  <c r="B153" i="7"/>
  <c r="B150" i="7"/>
  <c r="B151" i="7"/>
  <c r="B133" i="8"/>
  <c r="B130" i="8"/>
  <c r="B128" i="8"/>
  <c r="B127" i="8"/>
  <c r="C161" i="6"/>
  <c r="C160" i="6"/>
  <c r="C157" i="6"/>
  <c r="C156" i="6"/>
  <c r="C155" i="6"/>
  <c r="C154" i="6"/>
  <c r="B161" i="6"/>
  <c r="B160" i="6"/>
  <c r="B157" i="6"/>
  <c r="B155" i="6"/>
  <c r="B154" i="6"/>
  <c r="B157" i="3"/>
  <c r="B156" i="3"/>
  <c r="F143" i="6" l="1"/>
  <c r="K118" i="2" l="1"/>
  <c r="E118" i="2"/>
  <c r="F142" i="6"/>
  <c r="D138" i="2" l="1"/>
  <c r="C133" i="2"/>
  <c r="C138" i="2"/>
  <c r="I138" i="2"/>
  <c r="J133" i="2"/>
  <c r="I133" i="2"/>
  <c r="I137" i="2"/>
  <c r="D133" i="2"/>
  <c r="K117" i="2"/>
  <c r="E117" i="2"/>
  <c r="J137" i="2" l="1"/>
  <c r="J138" i="2"/>
  <c r="F141" i="6"/>
  <c r="H116" i="2"/>
  <c r="K126" i="2" l="1"/>
  <c r="E126" i="2"/>
  <c r="K116" i="2"/>
  <c r="E116" i="2"/>
  <c r="F140" i="6" l="1"/>
  <c r="B115" i="2"/>
  <c r="E115" i="2" s="1"/>
  <c r="K115" i="2"/>
  <c r="D27" i="1"/>
  <c r="F139" i="6" l="1"/>
  <c r="K114" i="2"/>
  <c r="E114" i="2"/>
  <c r="F138" i="6"/>
  <c r="K113" i="2" l="1"/>
  <c r="B113" i="2"/>
  <c r="E113" i="2" l="1"/>
  <c r="C158" i="6"/>
  <c r="C162" i="6" l="1"/>
  <c r="F137" i="6"/>
  <c r="C163" i="6" l="1"/>
  <c r="K112" i="2"/>
  <c r="E112" i="2"/>
  <c r="F136" i="6" l="1"/>
  <c r="K111" i="2"/>
  <c r="E111" i="2"/>
  <c r="F135" i="6" l="1"/>
  <c r="H110" i="2"/>
  <c r="K110" i="2" s="1"/>
  <c r="E110" i="2"/>
  <c r="F134" i="6"/>
  <c r="K109" i="2"/>
  <c r="E109" i="2"/>
  <c r="A2" i="11"/>
  <c r="F133" i="6" l="1"/>
  <c r="K108" i="2"/>
  <c r="E108" i="2"/>
  <c r="B5" i="1"/>
  <c r="G15" i="10" s="1"/>
  <c r="F132" i="6"/>
  <c r="K107" i="2"/>
  <c r="E107" i="2"/>
  <c r="F131" i="6"/>
  <c r="H106" i="2"/>
  <c r="E106" i="2"/>
  <c r="F130" i="6"/>
  <c r="K105" i="2"/>
  <c r="B105" i="2"/>
  <c r="E105" i="2"/>
  <c r="B152" i="3"/>
  <c r="B158" i="3" s="1"/>
  <c r="B152" i="5"/>
  <c r="B153" i="4"/>
  <c r="M136" i="2"/>
  <c r="O135" i="2"/>
  <c r="F129" i="6"/>
  <c r="K104" i="2"/>
  <c r="E104" i="2"/>
  <c r="A2" i="1"/>
  <c r="A2" i="10"/>
  <c r="B152" i="7"/>
  <c r="B159" i="7" s="1"/>
  <c r="F157" i="6"/>
  <c r="F128" i="6"/>
  <c r="B129" i="8"/>
  <c r="B134" i="8" s="1"/>
  <c r="B103" i="2"/>
  <c r="E103" i="2"/>
  <c r="K103" i="2"/>
  <c r="F127" i="6"/>
  <c r="K102" i="2"/>
  <c r="E102" i="2"/>
  <c r="F126" i="6"/>
  <c r="K101" i="2"/>
  <c r="E101" i="2"/>
  <c r="F125" i="6"/>
  <c r="K100" i="2"/>
  <c r="E100" i="2"/>
  <c r="B156" i="6"/>
  <c r="F124" i="6"/>
  <c r="K99" i="2"/>
  <c r="E99" i="2"/>
  <c r="F155"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6"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6"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6" i="3"/>
  <c r="K3" i="2"/>
  <c r="E3" i="2"/>
  <c r="A146" i="7"/>
  <c r="A123" i="8"/>
  <c r="A150" i="6"/>
  <c r="A146" i="5"/>
  <c r="A146" i="4"/>
  <c r="G125" i="2"/>
  <c r="A125" i="2"/>
  <c r="B18" i="11"/>
  <c r="B17" i="11"/>
  <c r="B16" i="11"/>
  <c r="B12" i="11"/>
  <c r="B11" i="11"/>
  <c r="B10" i="11"/>
  <c r="B6" i="11"/>
  <c r="I18" i="1"/>
  <c r="B51" i="11" s="1"/>
  <c r="I16" i="1"/>
  <c r="B49" i="11" s="1"/>
  <c r="I17" i="1"/>
  <c r="B50" i="11" s="1"/>
  <c r="H18" i="1"/>
  <c r="B47" i="11" s="1"/>
  <c r="H17" i="1"/>
  <c r="B46" i="11" s="1"/>
  <c r="H16" i="1"/>
  <c r="B45" i="11" s="1"/>
  <c r="B7" i="1"/>
  <c r="B67" i="1" s="1"/>
  <c r="B76" i="1" s="1"/>
  <c r="B80" i="1" s="1"/>
  <c r="G14" i="10"/>
  <c r="H14" i="10" s="1"/>
  <c r="B19" i="10"/>
  <c r="B18" i="10"/>
  <c r="I42" i="1"/>
  <c r="B24" i="11"/>
  <c r="F159" i="6"/>
  <c r="O132" i="2"/>
  <c r="O130" i="2"/>
  <c r="M130" i="2"/>
  <c r="E91" i="2"/>
  <c r="O136" i="2"/>
  <c r="M132" i="2"/>
  <c r="M135" i="2"/>
  <c r="K106" i="2" l="1"/>
  <c r="K132" i="2"/>
  <c r="K131" i="2"/>
  <c r="B162" i="6"/>
  <c r="F162" i="6" s="1"/>
  <c r="B156" i="5"/>
  <c r="B155" i="4"/>
  <c r="B13" i="1"/>
  <c r="B13" i="11"/>
  <c r="B131" i="2"/>
  <c r="B133" i="2" s="1"/>
  <c r="K89" i="2"/>
  <c r="B158" i="6"/>
  <c r="F158" i="6" s="1"/>
  <c r="B21" i="11"/>
  <c r="B154" i="7"/>
  <c r="B158" i="7"/>
  <c r="F46" i="1"/>
  <c r="F47" i="1" s="1"/>
  <c r="B131" i="8"/>
  <c r="F156" i="6"/>
  <c r="B163" i="6"/>
  <c r="B157" i="5"/>
  <c r="B19" i="11"/>
  <c r="I19" i="1"/>
  <c r="M131" i="2"/>
  <c r="O131" i="2"/>
  <c r="B159" i="3"/>
  <c r="B154" i="3"/>
  <c r="B41" i="11"/>
  <c r="B77" i="1"/>
  <c r="B82" i="1" s="1"/>
  <c r="B83" i="1" s="1"/>
  <c r="H19" i="1"/>
  <c r="G34" i="10"/>
  <c r="G37" i="10"/>
  <c r="G36" i="10"/>
  <c r="G38" i="10"/>
  <c r="G35" i="10"/>
  <c r="G39" i="10"/>
  <c r="G28" i="10"/>
  <c r="H15" i="10"/>
  <c r="I15" i="10" s="1"/>
  <c r="G13" i="10"/>
  <c r="I14" i="10"/>
  <c r="F89" i="1"/>
  <c r="F83" i="1"/>
  <c r="P91" i="1"/>
  <c r="H89" i="1" s="1"/>
  <c r="G89" i="1"/>
  <c r="G91" i="1" s="1"/>
  <c r="H137" i="2" l="1"/>
  <c r="H133" i="2"/>
  <c r="H138" i="2"/>
  <c r="K138" i="2"/>
  <c r="K133" i="2"/>
  <c r="K137" i="2"/>
  <c r="H42" i="1"/>
  <c r="F151" i="6"/>
  <c r="B23" i="11"/>
  <c r="B7" i="11"/>
  <c r="B8" i="1"/>
  <c r="B5" i="11"/>
  <c r="B6" i="1"/>
  <c r="B138" i="2"/>
  <c r="B137" i="2"/>
  <c r="E133" i="2"/>
  <c r="E137" i="2"/>
  <c r="E138" i="2"/>
  <c r="I13" i="10"/>
  <c r="H13" i="10"/>
  <c r="F160" i="6"/>
  <c r="F163" i="6"/>
  <c r="B85" i="1"/>
  <c r="B88" i="1"/>
  <c r="B12" i="1"/>
  <c r="B39" i="11"/>
  <c r="C13" i="1"/>
  <c r="H83" i="1"/>
  <c r="H91" i="1" s="1"/>
  <c r="F91" i="1"/>
  <c r="K83" i="1"/>
  <c r="J83" i="1"/>
  <c r="I34" i="1" l="1"/>
  <c r="D34" i="1"/>
  <c r="C34" i="1"/>
  <c r="H34" i="1"/>
  <c r="B43" i="11"/>
  <c r="L83" i="1"/>
  <c r="B89" i="1"/>
  <c r="K89" i="1" s="1"/>
  <c r="K91" i="1" s="1"/>
  <c r="F59" i="1" s="1"/>
  <c r="B57"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6" i="11" s="1"/>
  <c r="B53" i="11" l="1"/>
  <c r="B45" i="1"/>
  <c r="B50" i="1" s="1"/>
  <c r="B18" i="1"/>
  <c r="B24" i="1"/>
  <c r="D19" i="1"/>
  <c r="D22" i="1"/>
  <c r="D25" i="1" s="1"/>
  <c r="C25" i="1"/>
  <c r="C30" i="1" s="1"/>
  <c r="B59" i="1"/>
  <c r="B23" i="1"/>
  <c r="B17" i="1"/>
  <c r="B19" i="1" l="1"/>
  <c r="B22" i="1"/>
  <c r="B25" i="1" s="1"/>
  <c r="D29" i="1"/>
  <c r="B58" i="11"/>
  <c r="H33" i="1"/>
  <c r="H35" i="1" s="1"/>
  <c r="C33" i="1"/>
  <c r="C35" i="1" s="1"/>
  <c r="B46" i="1"/>
  <c r="B51" i="1" s="1"/>
  <c r="B52" i="1" s="1"/>
  <c r="D28" i="1" l="1"/>
  <c r="D30" i="1" s="1"/>
  <c r="B54" i="11"/>
  <c r="H18" i="10"/>
  <c r="C9" i="10"/>
  <c r="B36" i="11" s="1"/>
  <c r="H19" i="10"/>
  <c r="C10" i="10"/>
  <c r="D33" i="1" l="1"/>
  <c r="D35" i="1" s="1"/>
  <c r="I33" i="1"/>
  <c r="I35" i="1" s="1"/>
  <c r="B30" i="1"/>
  <c r="B62" i="11" s="1"/>
  <c r="H20" i="10"/>
  <c r="B20" i="10"/>
  <c r="I19" i="10" l="1"/>
  <c r="G19" i="10" s="1"/>
  <c r="D10" i="10"/>
  <c r="B10" i="10"/>
  <c r="G10" i="10"/>
  <c r="I18" i="10"/>
  <c r="B9" i="10"/>
  <c r="B35" i="11" s="1"/>
  <c r="D9" i="10"/>
  <c r="B37"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<sst xmlns="http://schemas.openxmlformats.org/spreadsheetml/2006/main" count="348" uniqueCount="216">
  <si>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</si>
  <si>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</si>
  <si>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</si>
  <si>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</si>
  <si>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</si>
  <si>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</si>
  <si>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</si>
  <si>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</si>
  <si>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</si>
  <si>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</si>
  <si>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</si>
  <si>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</si>
  <si>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</si>
  <si>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</si>
  <si>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</si>
  <si>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</si>
  <si>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</si>
  <si>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</si>
  <si>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</si>
  <si>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</si>
  <si>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</si>
  <si>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</si>
  <si>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</si>
  <si>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</si>
  <si>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</si>
  <si>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</si>
  <si>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</si>
  <si>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</si>
  <si>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</si>
  <si>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</si>
  <si>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</si>
  <si>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</si>
  <si>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</si>
  <si>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</si>
  <si>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</si>
  <si>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</si>
  <si>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</si>
  <si>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</si>
  <si>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</si>
  <si>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</si>
  <si>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</si>
  <si>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</si>
  <si>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</si>
  <si>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</si>
  <si>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</si>
  <si>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</si>
  <si>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</si>
  <si>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</si>
  <si>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</si>
  <si>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</si>
  <si>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</si>
  <si>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</si>
  <si>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</si>
  <si>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</si>
  <si>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</si>
  <si>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</si>
  <si>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</si>
  <si>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</si>
  <si>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</si>
  <si>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</si>
  <si>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</si>
  <si>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</si>
  <si>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</si>
  <si>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</si>
  <si>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</si>
  <si>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</si>
  <si>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</si>
  <si>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</si>
  <si>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</si>
  <si>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</si>
  <si>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</si>
  <si>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</si>
  <si>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</si>
  <si>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</si>
  <si>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</si>
  <si>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</si>
  <si>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</si>
  <si>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</si>
  <si>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</si>
  <si>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</si>
  <si>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</si>
  <si>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</si>
  <si>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</si>
  <si>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</si>
  <si>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</si>
  <si>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</si>
  <si>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</si>
  <si>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</si>
  <si>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</si>
  <si>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</si>
  <si>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</si>
  <si>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</si>
  <si>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</si>
  <si>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</si>
  <si>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</si>
  <si>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</si>
  <si>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</si>
  <si>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</si>
  <si>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</si>
  <si>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</si>
  <si>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</si>
  <si>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</si>
  <si>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</si>
  <si>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</si>
  <si>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</si>
  <si>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</si>
  <si>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</si>
  <si>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</si>
  <si>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</si>
  <si>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</si>
  <si>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</si>
  <si>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</si>
  <si>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</si>
  <si>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</si>
  <si>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</si>
  <si>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</si>
  <si>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</si>
  <si>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</si>
  <si>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</si>
  <si>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</si>
  <si>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</si>
  <si>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</si>
  <si>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</si>
  <si>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</si>
  <si>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</si>
  <si>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</si>
  <si>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</si>
  <si>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</si>
  <si>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</si>
  <si>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</si>
  <si>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</si>
  <si>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</si>
  <si>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</si>
  <si>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</si>
  <si>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</si>
  <si>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</si>
  <si>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</si>
  <si>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</si>
  <si>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</si>
  <si>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</si>
  <si>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</si>
  <si>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</si>
  <si>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</si>
  <si>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</si>
  <si>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</si>
  <si>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</si>
  <si>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</si>
  <si>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</si>
  <si>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</si>
  <si>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</si>
  <si>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</si>
  <si>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</si>
  <si>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</si>
  <si>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</si>
  <si>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</si>
  <si>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</si>
  <si>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</si>
  <si>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</si>
  <si>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</si>
  <si>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</si>
  <si>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</si>
  <si>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</si>
  <si>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</si>
  <si>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</si>
  <si>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</si>
  <si>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</si>
  <si>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</si>
  <si>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</si>
  <si>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</si>
  <si>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</si>
  <si>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</si>
  <si>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</si>
  <si>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</si>
  <si>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</si>
  <si>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</si>
  <si>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</si>
  <si>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</si>
  <si>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</si>
  <si>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</si>
  <si>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</si>
  <si>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</si>
  <si>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</si>
  <si>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</si>
  <si>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</si>
  <si>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</si>
  <si>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</si>
  <si>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</si>
  <si>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</si>
  <si>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</si>
  <si>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</si>
  <si>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</si>
  <si>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</si>
  <si>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</si>
  <si>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</si>
  <si>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</si>
  <si>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</si>
  <si>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</si>
  <si>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</si>
  <si>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</si>
  <si>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</si>
  <si>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</si>
  <si>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Note:  Novober 2015 - March 2017 are recalculated figures that reflect percentages that would have existed if rules in effect on Aug. 1, 2017  were in effect in the past</t>
  </si>
  <si>
    <t>Note:  March2015 - July 2017 are recalculated figures that reflect percentages that would have existed if rules in effect on Aug. 1, 2017  were in effect in the past</t>
  </si>
  <si>
    <t>The plants are reporting a shortage of bulk milk since summer. 6/12/2025 ms</t>
  </si>
  <si>
    <t>Est August2025</t>
  </si>
  <si>
    <t>August 2024</t>
  </si>
  <si>
    <t>August 2023</t>
  </si>
  <si>
    <t>August 2022</t>
  </si>
  <si>
    <t>Ave:  August 25 Est, 24, 23, 22</t>
  </si>
  <si>
    <t xml:space="preserve">Ave:  August 25 Est, 24, 23, </t>
  </si>
  <si>
    <t>Est August 2025</t>
  </si>
  <si>
    <t>Ave:  August 25 Est, 24, 23</t>
  </si>
  <si>
    <t>Note:  June 2015 - June 2017 are recalculated figures that reflect percentages that would have existed if rules in effect on Aug. 1, 2017  were in effect in the past</t>
  </si>
  <si>
    <t>August 2024 - June 2024 Delta</t>
  </si>
  <si>
    <t>June 2025</t>
  </si>
  <si>
    <t>There has been not bulk surplus milk since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</si>
</sst>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4"/>
  <sheetViews>
    <sheetView topLeftCell="A101" workbookViewId="0">
      <selection activeCell="B119" sqref="B119"/>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202</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4">
        <v>44197</v>
      </c>
      <c r="B65" s="25">
        <v>0.11081000000000001</v>
      </c>
      <c r="D65" s="25"/>
      <c r="E65" s="95"/>
      <c r="F65" s="25"/>
    </row>
    <row r="66" spans="1:6" x14ac:dyDescent="0.25">
      <c r="A66" s="14">
        <v>44228</v>
      </c>
      <c r="B66" s="25">
        <v>0.12178899999999999</v>
      </c>
      <c r="D66" s="25"/>
      <c r="E66" s="95"/>
      <c r="F66" s="25"/>
    </row>
    <row r="67" spans="1:6" x14ac:dyDescent="0.25">
      <c r="A67" s="14">
        <v>44256</v>
      </c>
      <c r="B67" s="25">
        <v>0.10184699999999999</v>
      </c>
      <c r="D67" s="25"/>
      <c r="E67" s="95"/>
      <c r="F67" s="25"/>
    </row>
    <row r="68" spans="1:6" x14ac:dyDescent="0.25">
      <c r="A68" s="14">
        <v>44287</v>
      </c>
      <c r="B68" s="25">
        <v>0.105003</v>
      </c>
      <c r="D68" s="25"/>
      <c r="E68" s="95"/>
      <c r="F68" s="25"/>
    </row>
    <row r="69" spans="1:6" x14ac:dyDescent="0.25">
      <c r="A69" s="14">
        <v>44317</v>
      </c>
      <c r="B69" s="25">
        <v>0.118489</v>
      </c>
      <c r="D69" s="25"/>
      <c r="E69" s="95"/>
      <c r="F69" s="25"/>
    </row>
    <row r="70" spans="1:6" x14ac:dyDescent="0.25">
      <c r="A70" s="14">
        <v>44348</v>
      </c>
      <c r="B70" s="25">
        <v>0.12729499999999999</v>
      </c>
      <c r="D70" s="25"/>
      <c r="E70" s="95"/>
      <c r="F70" s="25"/>
    </row>
    <row r="71" spans="1:6" x14ac:dyDescent="0.25">
      <c r="A71" s="14">
        <v>44378</v>
      </c>
      <c r="B71" s="25">
        <v>0.15543499999999999</v>
      </c>
      <c r="D71" s="25"/>
      <c r="E71" s="95"/>
      <c r="F71" s="25"/>
    </row>
    <row r="72" spans="1:6" x14ac:dyDescent="0.25">
      <c r="A72" s="14">
        <v>44409</v>
      </c>
      <c r="B72" s="25">
        <v>0.11372500000000001</v>
      </c>
      <c r="D72" s="25"/>
      <c r="E72" s="95"/>
      <c r="F72" s="25"/>
    </row>
    <row r="73" spans="1:6" x14ac:dyDescent="0.25">
      <c r="A73" s="14">
        <v>44440</v>
      </c>
      <c r="B73" s="25">
        <v>0.106616</v>
      </c>
      <c r="D73" s="25"/>
      <c r="E73" s="95"/>
      <c r="F73" s="25"/>
    </row>
    <row r="74" spans="1:6" x14ac:dyDescent="0.25">
      <c r="A74" s="14">
        <v>44470</v>
      </c>
      <c r="B74" s="25">
        <v>8.9302999999999993E-2</v>
      </c>
      <c r="D74" s="25"/>
      <c r="E74" s="95"/>
      <c r="F74" s="25"/>
    </row>
    <row r="75" spans="1:6" x14ac:dyDescent="0.25">
      <c r="A75" s="14">
        <v>44501</v>
      </c>
      <c r="B75" s="25">
        <v>6.6633999999999999E-2</v>
      </c>
      <c r="D75" s="25"/>
      <c r="E75" s="95"/>
      <c r="F75" s="25"/>
    </row>
    <row r="76" spans="1:6" x14ac:dyDescent="0.25">
      <c r="A76" s="14">
        <v>44531</v>
      </c>
      <c r="B76" s="25">
        <v>0.106876</v>
      </c>
      <c r="D76" s="25"/>
      <c r="E76" s="95"/>
      <c r="F76" s="25"/>
    </row>
    <row r="77" spans="1:6" x14ac:dyDescent="0.25">
      <c r="A77" s="14">
        <v>44562</v>
      </c>
      <c r="B77" s="25">
        <v>0.108279</v>
      </c>
      <c r="D77" s="25"/>
      <c r="E77" s="95"/>
      <c r="F77" s="25"/>
    </row>
    <row r="78" spans="1:6" x14ac:dyDescent="0.25">
      <c r="A78" s="14">
        <v>44593</v>
      </c>
      <c r="B78" s="25">
        <v>0.11074299999999999</v>
      </c>
      <c r="D78" s="25"/>
      <c r="E78" s="95"/>
      <c r="F78" s="25"/>
    </row>
    <row r="79" spans="1:6" x14ac:dyDescent="0.25">
      <c r="A79" s="14">
        <v>44621</v>
      </c>
      <c r="B79" s="25">
        <v>0.12986900000000001</v>
      </c>
      <c r="D79" s="25"/>
      <c r="E79" s="95"/>
      <c r="F79" s="25"/>
    </row>
    <row r="80" spans="1:6" x14ac:dyDescent="0.25">
      <c r="A80" s="14">
        <v>44652</v>
      </c>
      <c r="B80" s="25">
        <v>0.15177599999999999</v>
      </c>
      <c r="D80" s="25"/>
      <c r="E80" s="95"/>
      <c r="F80" s="25"/>
    </row>
    <row r="81" spans="1:6" x14ac:dyDescent="0.25">
      <c r="A81" s="14">
        <v>44682</v>
      </c>
      <c r="B81" s="25">
        <v>0.110897</v>
      </c>
      <c r="D81" s="25"/>
      <c r="E81" s="95"/>
      <c r="F81" s="25"/>
    </row>
    <row r="82" spans="1:6" x14ac:dyDescent="0.25">
      <c r="A82" s="14">
        <v>44713</v>
      </c>
      <c r="B82" s="25">
        <v>0.123853</v>
      </c>
      <c r="D82" s="25"/>
      <c r="E82" s="95"/>
      <c r="F82" s="25"/>
    </row>
    <row r="83" spans="1:6" x14ac:dyDescent="0.25">
      <c r="A83" s="14">
        <v>44743</v>
      </c>
      <c r="B83" s="25">
        <v>0.12698699999999999</v>
      </c>
      <c r="D83" s="25"/>
      <c r="E83" s="95"/>
      <c r="F83" s="25"/>
    </row>
    <row r="84" spans="1:6" x14ac:dyDescent="0.25">
      <c r="A84" s="14">
        <v>44774</v>
      </c>
      <c r="B84" s="25">
        <v>0.12057</v>
      </c>
      <c r="D84" s="25"/>
      <c r="E84" s="95"/>
      <c r="F84" s="25"/>
    </row>
    <row r="85" spans="1:6" x14ac:dyDescent="0.25">
      <c r="A85" s="14">
        <v>44805</v>
      </c>
      <c r="B85" s="25">
        <v>0.14147799999999999</v>
      </c>
      <c r="D85" s="25"/>
      <c r="E85" s="95"/>
      <c r="F85" s="25"/>
    </row>
    <row r="86" spans="1:6" x14ac:dyDescent="0.25">
      <c r="A86" s="14">
        <v>44835</v>
      </c>
      <c r="B86" s="25">
        <v>0.147482</v>
      </c>
      <c r="D86" s="25"/>
      <c r="E86" s="95"/>
      <c r="F86" s="25"/>
    </row>
    <row r="87" spans="1:6" x14ac:dyDescent="0.25">
      <c r="A87" s="14">
        <v>44866</v>
      </c>
      <c r="B87" s="25">
        <v>0</v>
      </c>
      <c r="D87" s="25"/>
      <c r="E87" s="95"/>
      <c r="F87" s="25"/>
    </row>
    <row r="88" spans="1:6" x14ac:dyDescent="0.25">
      <c r="A88" s="14">
        <v>44896</v>
      </c>
      <c r="B88" s="25">
        <v>0.13514499999999999</v>
      </c>
    </row>
    <row r="89" spans="1:6" x14ac:dyDescent="0.25">
      <c r="A89" s="14">
        <v>44927</v>
      </c>
      <c r="B89" s="25">
        <v>0.10367700000000001</v>
      </c>
    </row>
    <row r="90" spans="1:6" x14ac:dyDescent="0.25">
      <c r="A90" s="14">
        <v>44958</v>
      </c>
      <c r="B90" s="25">
        <v>0.12101099999999999</v>
      </c>
    </row>
    <row r="91" spans="1:6" x14ac:dyDescent="0.25">
      <c r="A91" s="14">
        <v>44986</v>
      </c>
      <c r="B91" s="25">
        <v>0.20216300000000001</v>
      </c>
    </row>
    <row r="92" spans="1:6" x14ac:dyDescent="0.25">
      <c r="A92" s="14">
        <v>45017</v>
      </c>
      <c r="B92" s="25">
        <v>0.241227</v>
      </c>
    </row>
    <row r="93" spans="1:6" x14ac:dyDescent="0.25">
      <c r="A93" s="14">
        <v>45047</v>
      </c>
      <c r="B93" s="25">
        <v>0.37820399999999998</v>
      </c>
    </row>
    <row r="94" spans="1:6" x14ac:dyDescent="0.25">
      <c r="A94" s="14">
        <v>45078</v>
      </c>
      <c r="B94" s="25">
        <v>0.31261899999999998</v>
      </c>
    </row>
    <row r="95" spans="1:6" x14ac:dyDescent="0.25">
      <c r="A95" s="14">
        <v>45108</v>
      </c>
      <c r="B95" s="25">
        <v>0.40142899999999998</v>
      </c>
    </row>
    <row r="96" spans="1:6" x14ac:dyDescent="0.25">
      <c r="A96" s="14">
        <v>45139</v>
      </c>
      <c r="B96" s="25">
        <v>0.30302499999999999</v>
      </c>
    </row>
    <row r="97" spans="1:2" x14ac:dyDescent="0.25">
      <c r="A97" s="14">
        <v>45170</v>
      </c>
      <c r="B97" s="25">
        <v>0.205092</v>
      </c>
    </row>
    <row r="98" spans="1:2" x14ac:dyDescent="0.25">
      <c r="A98" s="14">
        <v>45200</v>
      </c>
      <c r="B98" s="25">
        <v>0.31087999999999999</v>
      </c>
    </row>
    <row r="99" spans="1:2" x14ac:dyDescent="0.25">
      <c r="A99" s="14">
        <v>45231</v>
      </c>
      <c r="B99" s="25">
        <v>0.269316</v>
      </c>
    </row>
    <row r="100" spans="1:2" x14ac:dyDescent="0.25">
      <c r="A100" s="14">
        <v>45261</v>
      </c>
      <c r="B100" s="25">
        <v>0.30130299999999999</v>
      </c>
    </row>
    <row r="101" spans="1:2" x14ac:dyDescent="0.25">
      <c r="A101" s="14">
        <v>45292</v>
      </c>
      <c r="B101" s="25">
        <v>0.29108499999999998</v>
      </c>
    </row>
    <row r="102" spans="1:2" x14ac:dyDescent="0.25">
      <c r="A102" s="14">
        <v>45323</v>
      </c>
      <c r="B102" s="25">
        <v>0.29903400000000002</v>
      </c>
    </row>
    <row r="103" spans="1:2" x14ac:dyDescent="0.25">
      <c r="A103" s="14">
        <v>45352</v>
      </c>
      <c r="B103" s="25">
        <v>0.45419599999999999</v>
      </c>
    </row>
    <row r="104" spans="1:2" x14ac:dyDescent="0.25">
      <c r="A104" s="14">
        <v>45383</v>
      </c>
      <c r="B104" s="25">
        <v>0.34164499999999998</v>
      </c>
    </row>
    <row r="105" spans="1:2" x14ac:dyDescent="0.25">
      <c r="A105" s="14">
        <v>45413</v>
      </c>
      <c r="B105" s="25">
        <v>0.31060199999999999</v>
      </c>
    </row>
    <row r="106" spans="1:2" x14ac:dyDescent="0.25">
      <c r="A106" s="14">
        <v>45444</v>
      </c>
      <c r="B106" s="25">
        <v>0.30881900000000001</v>
      </c>
    </row>
    <row r="107" spans="1:2" x14ac:dyDescent="0.25">
      <c r="A107" s="14">
        <v>45474</v>
      </c>
      <c r="B107" s="25">
        <v>0.31423099999999998</v>
      </c>
    </row>
    <row r="108" spans="1:2" x14ac:dyDescent="0.25">
      <c r="A108" s="14">
        <v>45505</v>
      </c>
      <c r="B108" s="25">
        <v>0.38170900000000002</v>
      </c>
    </row>
    <row r="109" spans="1:2" x14ac:dyDescent="0.25">
      <c r="A109" s="14">
        <v>45536</v>
      </c>
      <c r="B109" s="25">
        <v>0.41731499999999999</v>
      </c>
    </row>
    <row r="110" spans="1:2" x14ac:dyDescent="0.25">
      <c r="A110" s="14">
        <v>45566</v>
      </c>
      <c r="B110" s="25">
        <v>0.41150399999999998</v>
      </c>
    </row>
    <row r="111" spans="1:2" x14ac:dyDescent="0.25">
      <c r="A111" s="14">
        <v>45597</v>
      </c>
      <c r="B111" s="25">
        <v>0.48625000000000002</v>
      </c>
    </row>
    <row r="112" spans="1:2" x14ac:dyDescent="0.25">
      <c r="A112" s="14">
        <v>45627</v>
      </c>
      <c r="B112" s="25">
        <v>0.39985799999999999</v>
      </c>
    </row>
    <row r="113" spans="1:10" x14ac:dyDescent="0.25">
      <c r="A113" s="14">
        <v>45658</v>
      </c>
      <c r="B113" s="25">
        <v>0.41091699999999998</v>
      </c>
    </row>
    <row r="114" spans="1:10" x14ac:dyDescent="0.25">
      <c r="A114" s="14">
        <v>45689</v>
      </c>
      <c r="B114" s="25">
        <v>0.48166799999999999</v>
      </c>
    </row>
    <row r="115" spans="1:10" x14ac:dyDescent="0.25">
      <c r="A115" s="14">
        <v>45717</v>
      </c>
      <c r="B115" s="25">
        <v>0.47711100000000001</v>
      </c>
    </row>
    <row r="116" spans="1:10" x14ac:dyDescent="0.25">
      <c r="A116" s="14">
        <v>45748</v>
      </c>
      <c r="B116" s="25">
        <v>0.45650600000000002</v>
      </c>
    </row>
    <row r="117" spans="1:10" x14ac:dyDescent="0.25">
      <c r="A117" s="14">
        <v>45778</v>
      </c>
      <c r="B117" s="25">
        <v>0.55486899999999995</v>
      </c>
    </row>
    <row r="118" spans="1:10" x14ac:dyDescent="0.25">
      <c r="A118" s="14">
        <v>45809</v>
      </c>
      <c r="B118" s="25">
        <v>0.33561200000000002</v>
      </c>
    </row>
    <row r="119" spans="1:10" x14ac:dyDescent="0.25">
      <c r="A119" s="14"/>
      <c r="B119" s="25"/>
    </row>
    <row r="120" spans="1:10" x14ac:dyDescent="0.25">
      <c r="A120" s="14"/>
      <c r="B120" s="25"/>
    </row>
    <row r="121" spans="1:10" x14ac:dyDescent="0.25">
      <c r="A121" s="14"/>
      <c r="B121" s="25"/>
    </row>
    <row r="122" spans="1:10" x14ac:dyDescent="0.25">
      <c r="A122" s="14"/>
      <c r="B122" s="25"/>
    </row>
    <row r="123" spans="1:10" ht="75" x14ac:dyDescent="0.25">
      <c r="A123" s="27">
        <f>Pooling_Month</f>
        <v>45870</v>
      </c>
      <c r="B123" s="20" t="s">
        <v>136</v>
      </c>
    </row>
    <row r="124" spans="1:10" x14ac:dyDescent="0.25">
      <c r="A124" s="31" t="s">
        <v>60</v>
      </c>
      <c r="B124" s="260">
        <v>0.55849799999999994</v>
      </c>
    </row>
    <row r="125" spans="1:10" ht="13.5" customHeight="1" x14ac:dyDescent="0.25"/>
    <row r="127" spans="1:10" x14ac:dyDescent="0.25">
      <c r="A127" s="40" t="s">
        <v>213</v>
      </c>
      <c r="B127" s="95">
        <f>B107-B105</f>
        <v>3.6289999999999933E-3</v>
      </c>
    </row>
    <row r="128" spans="1:10" x14ac:dyDescent="0.25">
      <c r="A128" s="93" t="s">
        <v>214</v>
      </c>
      <c r="B128" s="95">
        <f>B117</f>
        <v>0.55486899999999995</v>
      </c>
      <c r="J128" t="s">
        <v>195</v>
      </c>
    </row>
    <row r="129" spans="1:17" x14ac:dyDescent="0.25">
      <c r="A129" s="269" t="s">
        <v>210</v>
      </c>
      <c r="B129" s="95">
        <f>SUM(B127:B128)</f>
        <v>0.55849799999999994</v>
      </c>
      <c r="C129" s="3"/>
      <c r="E129" s="3"/>
      <c r="F129" s="3"/>
      <c r="G129" s="3"/>
      <c r="H129" s="3"/>
      <c r="I129" s="3"/>
      <c r="J129" s="3"/>
      <c r="K129" s="3"/>
      <c r="L129" s="3"/>
      <c r="M129" s="3"/>
      <c r="N129" s="3"/>
      <c r="O129" s="3"/>
      <c r="P129" s="3"/>
      <c r="Q129" s="3"/>
    </row>
    <row r="130" spans="1:17" x14ac:dyDescent="0.25">
      <c r="A130" s="92" t="s">
        <v>205</v>
      </c>
      <c r="B130" s="95">
        <f>B107</f>
        <v>0.31423099999999998</v>
      </c>
      <c r="C130" s="3"/>
      <c r="E130" s="3"/>
      <c r="F130" s="3"/>
      <c r="G130" s="3"/>
      <c r="H130" s="3"/>
      <c r="I130" s="3"/>
      <c r="J130" s="3"/>
      <c r="K130" s="3"/>
      <c r="L130" s="3"/>
      <c r="M130" s="3"/>
      <c r="N130" s="3"/>
      <c r="O130" s="3"/>
      <c r="P130" s="3"/>
      <c r="Q130" s="3"/>
    </row>
    <row r="131" spans="1:17" x14ac:dyDescent="0.25">
      <c r="A131" t="s">
        <v>83</v>
      </c>
      <c r="B131" s="25">
        <f>AVERAGE(B129:B130)</f>
        <v>0.43636449999999993</v>
      </c>
    </row>
    <row r="133" spans="1:17" x14ac:dyDescent="0.25">
      <c r="A133" s="92" t="s">
        <v>206</v>
      </c>
      <c r="B133" s="25">
        <f>B95</f>
        <v>0.40142899999999998</v>
      </c>
    </row>
    <row r="134" spans="1:17" x14ac:dyDescent="0.25">
      <c r="A134" t="s">
        <v>85</v>
      </c>
      <c r="B134" s="25">
        <f>AVERAGE(B129:B130,B133)</f>
        <v>0.42471933333333328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4"/>
  <sheetViews>
    <sheetView topLeftCell="A136" workbookViewId="0">
      <selection activeCell="E143" sqref="E143"/>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v>45748</v>
      </c>
      <c r="B139" s="25">
        <v>0</v>
      </c>
    </row>
    <row r="140" spans="1:2" x14ac:dyDescent="0.25">
      <c r="A140" s="14">
        <v>45778</v>
      </c>
      <c r="B140" s="25">
        <v>0</v>
      </c>
    </row>
    <row r="141" spans="1:2" x14ac:dyDescent="0.25">
      <c r="A141" s="14">
        <v>45809</v>
      </c>
      <c r="B141" s="25">
        <v>0</v>
      </c>
    </row>
    <row r="142" spans="1:2" x14ac:dyDescent="0.25">
      <c r="A142" s="14"/>
      <c r="B142" s="25"/>
    </row>
    <row r="143" spans="1:2" x14ac:dyDescent="0.25">
      <c r="A143" s="14"/>
      <c r="B143" s="25"/>
    </row>
    <row r="144" spans="1:2" x14ac:dyDescent="0.25">
      <c r="A144" s="14"/>
      <c r="B144" s="25"/>
    </row>
    <row r="145" spans="1:3" x14ac:dyDescent="0.25">
      <c r="A145" s="14"/>
      <c r="B145" s="25"/>
    </row>
    <row r="146" spans="1:3" ht="75" x14ac:dyDescent="0.25">
      <c r="A146" s="27">
        <f>Pooling_Month</f>
        <v>45870</v>
      </c>
      <c r="B146" s="20" t="s">
        <v>139</v>
      </c>
    </row>
    <row r="147" spans="1:3" x14ac:dyDescent="0.25">
      <c r="A147" s="31" t="s">
        <v>60</v>
      </c>
      <c r="B147" s="32">
        <v>0</v>
      </c>
    </row>
    <row r="148" spans="1:3" ht="15.75" hidden="1" customHeight="1" x14ac:dyDescent="0.25"/>
    <row r="149" spans="1:3" ht="14.25" hidden="1" customHeight="1" x14ac:dyDescent="0.25">
      <c r="C149" t="s">
        <v>196</v>
      </c>
    </row>
    <row r="150" spans="1:3" hidden="1" x14ac:dyDescent="0.25">
      <c r="A150" s="40" t="s">
        <v>213</v>
      </c>
      <c r="B150" s="95">
        <f>B130-B128</f>
        <v>0</v>
      </c>
    </row>
    <row r="151" spans="1:3" hidden="1" x14ac:dyDescent="0.25">
      <c r="A151" s="93" t="s">
        <v>214</v>
      </c>
      <c r="B151" s="95">
        <f>B140</f>
        <v>0</v>
      </c>
    </row>
    <row r="152" spans="1:3" hidden="1" x14ac:dyDescent="0.25">
      <c r="A152" s="91" t="s">
        <v>210</v>
      </c>
      <c r="B152" s="95">
        <f>SUM(B150:B151)</f>
        <v>0</v>
      </c>
      <c r="C152" t="s">
        <v>215</v>
      </c>
    </row>
    <row r="153" spans="1:3" hidden="1" x14ac:dyDescent="0.25">
      <c r="A153" s="92" t="s">
        <v>205</v>
      </c>
      <c r="B153" s="95">
        <f>B130</f>
        <v>0</v>
      </c>
      <c r="C153" t="s">
        <v>203</v>
      </c>
    </row>
    <row r="154" spans="1:3" hidden="1" x14ac:dyDescent="0.25">
      <c r="A154" t="s">
        <v>83</v>
      </c>
      <c r="B154" s="95">
        <f>AVERAGE(B152:B153)</f>
        <v>0</v>
      </c>
    </row>
    <row r="155" spans="1:3" hidden="1" x14ac:dyDescent="0.25">
      <c r="B155" s="95"/>
    </row>
    <row r="156" spans="1:3" hidden="1" x14ac:dyDescent="0.25">
      <c r="A156" s="92" t="s">
        <v>206</v>
      </c>
      <c r="B156" s="95">
        <f>B118</f>
        <v>0</v>
      </c>
    </row>
    <row r="157" spans="1:3" hidden="1" x14ac:dyDescent="0.25">
      <c r="A157" s="91" t="s">
        <v>207</v>
      </c>
      <c r="B157" s="25">
        <f>B106</f>
        <v>3.5916999999999998E-2</v>
      </c>
    </row>
    <row r="158" spans="1:3" hidden="1" x14ac:dyDescent="0.25">
      <c r="A158" s="40" t="s">
        <v>208</v>
      </c>
      <c r="B158" s="25">
        <f>AVERAGE(B152,B153,B156,B157)</f>
        <v>8.9792499999999994E-3</v>
      </c>
    </row>
    <row r="159" spans="1:3" hidden="1" x14ac:dyDescent="0.25">
      <c r="A159" s="40" t="s">
        <v>211</v>
      </c>
      <c r="B159" s="25">
        <f>AVERAGE(B152,B153,B156)</f>
        <v>0</v>
      </c>
    </row>
    <row r="164" spans="4:4" x14ac:dyDescent="0.25">
      <c r="D164" s="218"/>
    </row>
  </sheetData>
  <sheetProtection algorithmName="SHA-512" hashValue="qZ4EnN9zD1hfZKAE/oB1mHtQCR1ORVpiiZ5VkYIBnPt52Xo45VadeeO6amsBWHikxIhwQCprBmCJUzL6cdGCLQ==" saltValue="+YUmVRxJqRUFy99yZMUfc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4" zoomScale="75" zoomScaleNormal="75"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f>'Quota Price Estimator'!B4</f>
        <v>45870</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200</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20.056062950970379</v>
      </c>
      <c r="C9" s="81">
        <f>QuotaButterfatPrice</f>
        <v>2.8525731599999999</v>
      </c>
      <c r="D9" s="82">
        <f>QuotaSkimPrice</f>
        <v>0.10437364653855316</v>
      </c>
      <c r="E9" s="82"/>
      <c r="F9" s="83"/>
      <c r="G9" s="84">
        <f>(QuotaButterfatPrice*PoolButterfatPercent*100)+(QuotaSkimPrice*(100-PoolButterfatPercent*100))</f>
        <v>21.064652172410732</v>
      </c>
      <c r="H9" s="1"/>
      <c r="I9" s="1"/>
    </row>
    <row r="10" spans="1:9" ht="15.75" x14ac:dyDescent="0.25">
      <c r="A10" s="85" t="s">
        <v>5</v>
      </c>
      <c r="B10" s="222">
        <f>ExcessButterfatPrice*3.5+ExcessSkimPrice*96.5</f>
        <v>18.556062950970379</v>
      </c>
      <c r="C10" s="86">
        <f>ExcessButterfatPrice</f>
        <v>2.8375731599999998</v>
      </c>
      <c r="D10" s="87">
        <f>ExcessSkimPrice</f>
        <v>8.9373646538553161E-2</v>
      </c>
      <c r="E10" s="87"/>
      <c r="F10" s="88"/>
      <c r="G10" s="89">
        <f>(ExcessButterfatPrice*PoolButterfatPercent*100)+(ExcessSkimPrice*(100-PoolButterfatPercent*100))</f>
        <v>19.564652172410732</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4">
        <v>2.1499999999999998E-2</v>
      </c>
      <c r="F37" s="104" t="s">
        <v>93</v>
      </c>
      <c r="G37" s="106">
        <f>-ROUND(($G$15/100)*B43,2)</f>
        <v>0</v>
      </c>
    </row>
    <row r="38" spans="1:7" ht="15.75" x14ac:dyDescent="0.25">
      <c r="B38" s="242"/>
      <c r="F38" s="104" t="s">
        <v>104</v>
      </c>
      <c r="G38" s="106">
        <f>-ROUND(($G$15/100)*B45+B46,2)</f>
        <v>0</v>
      </c>
    </row>
    <row r="39" spans="1:7" ht="15.75" x14ac:dyDescent="0.25">
      <c r="A39" s="40" t="s">
        <v>92</v>
      </c>
      <c r="B39" s="241">
        <v>0.14000000000000001</v>
      </c>
      <c r="F39" s="107" t="s">
        <v>105</v>
      </c>
      <c r="G39" s="108">
        <f>-ROUND(($G$15/100)*B48+B49,2)</f>
        <v>0</v>
      </c>
    </row>
    <row r="40" spans="1:7" ht="15.75" x14ac:dyDescent="0.25">
      <c r="A40" t="s">
        <v>91</v>
      </c>
      <c r="B40" s="243">
        <v>50</v>
      </c>
      <c r="F40" s="102" t="s">
        <v>106</v>
      </c>
      <c r="G40" s="109">
        <f>SUM(G27:G39)</f>
        <v>-50</v>
      </c>
    </row>
    <row r="41" spans="1:7" ht="15.75" x14ac:dyDescent="0.25">
      <c r="A41" t="s">
        <v>91</v>
      </c>
      <c r="B41" s="243">
        <v>1050</v>
      </c>
      <c r="F41" s="107" t="s">
        <v>107</v>
      </c>
      <c r="G41" s="108">
        <f>-B51</f>
        <v>0</v>
      </c>
    </row>
    <row r="42" spans="1:7" ht="15.75" x14ac:dyDescent="0.25">
      <c r="B42" s="242"/>
      <c r="F42" s="104" t="s">
        <v>108</v>
      </c>
      <c r="G42" s="106">
        <f>SUM(G40:G41)</f>
        <v>-50</v>
      </c>
    </row>
    <row r="43" spans="1:7" x14ac:dyDescent="0.25">
      <c r="A43" t="s">
        <v>94</v>
      </c>
      <c r="B43" s="241">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2"/>
  <sheetViews>
    <sheetView topLeftCell="A37" workbookViewId="0">
      <selection activeCell="C48" sqref="C48"/>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7" customWidth="1"/>
    <col min="15" max="15" width="13.5703125" style="237" customWidth="1"/>
    <col min="16" max="16" width="13.85546875" style="237" customWidth="1"/>
    <col min="17" max="16384" width="9.140625" style="1"/>
  </cols>
  <sheetData>
    <row r="1" spans="1:13" ht="21" x14ac:dyDescent="0.35">
      <c r="A1" s="9" t="s">
        <v>191</v>
      </c>
      <c r="B1" s="7"/>
      <c r="C1" s="7"/>
      <c r="D1" s="7"/>
      <c r="E1" s="7"/>
      <c r="F1" s="7"/>
      <c r="G1" s="7"/>
      <c r="H1" s="7"/>
      <c r="I1" s="7"/>
    </row>
    <row r="2" spans="1:13" ht="18.75" x14ac:dyDescent="0.3">
      <c r="A2" s="258">
        <f>Pooling_Month</f>
        <v>45870</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59">
        <v>45870</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490044</v>
      </c>
      <c r="C6" s="126"/>
      <c r="D6" s="126"/>
      <c r="E6" s="126"/>
      <c r="F6" s="126"/>
      <c r="G6" s="126"/>
      <c r="H6" s="126"/>
      <c r="I6" s="127"/>
    </row>
    <row r="7" spans="1:13" ht="15.75" x14ac:dyDescent="0.25">
      <c r="A7" s="128" t="s">
        <v>15</v>
      </c>
      <c r="B7" s="130">
        <f>PoolButterfatPercent</f>
        <v>3.8670000000000003E-2</v>
      </c>
      <c r="C7" s="126"/>
      <c r="D7" s="126"/>
      <c r="E7" s="126"/>
      <c r="F7" s="126"/>
      <c r="G7" s="126"/>
      <c r="H7" s="126"/>
      <c r="I7" s="127"/>
    </row>
    <row r="8" spans="1:13" ht="15.75" x14ac:dyDescent="0.25">
      <c r="A8" s="128" t="s">
        <v>51</v>
      </c>
      <c r="B8" s="130">
        <f>PoolOverQuotaProdPerc</f>
        <v>9.6139999999999993E-3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15045314.226504</v>
      </c>
      <c r="C11" s="135">
        <f>C13-C12</f>
        <v>581802.30113890965</v>
      </c>
      <c r="D11" s="135">
        <f>D13-D12</f>
        <v>14463511.92536509</v>
      </c>
      <c r="E11" s="135"/>
      <c r="F11" s="126"/>
      <c r="G11" s="126"/>
      <c r="H11" s="126"/>
      <c r="I11" s="127"/>
    </row>
    <row r="12" spans="1:13" ht="15.75" x14ac:dyDescent="0.25">
      <c r="A12" s="136" t="s">
        <v>18</v>
      </c>
      <c r="B12" s="137">
        <f>B13*PoolOverQuotaProdPerc</f>
        <v>146049.77349599998</v>
      </c>
      <c r="C12" s="137">
        <f>B12*PoolButterfatPercent</f>
        <v>5647.7447410903196</v>
      </c>
      <c r="D12" s="137">
        <f>B12-C12</f>
        <v>140402.02875490967</v>
      </c>
      <c r="E12" s="135"/>
      <c r="F12" s="126"/>
      <c r="G12" s="126"/>
      <c r="H12" s="126"/>
      <c r="I12" s="127"/>
    </row>
    <row r="13" spans="1:13" ht="15.75" x14ac:dyDescent="0.25">
      <c r="A13" s="134" t="s">
        <v>19</v>
      </c>
      <c r="B13" s="135">
        <f>PoolDailyProd*DaysPerMonth</f>
        <v>15191364</v>
      </c>
      <c r="C13" s="135">
        <f>B13*PoolButterfatPercent</f>
        <v>587450.04587999999</v>
      </c>
      <c r="D13" s="135">
        <f>B13-C13</f>
        <v>14603913.954120001</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13917969.378097335</v>
      </c>
      <c r="C16" s="135">
        <f>Butterfat_Production*EstClsIBFUtPerc</f>
        <v>359695.66309232404</v>
      </c>
      <c r="D16" s="135">
        <f>Skim_Production*EstClsISkimUtPerc</f>
        <v>13558273.71500501</v>
      </c>
      <c r="E16" s="140"/>
      <c r="F16" s="126"/>
      <c r="G16" s="141" t="s">
        <v>21</v>
      </c>
      <c r="H16" s="142">
        <f>EstClsIBFUtPerc</f>
        <v>0.61230000000000007</v>
      </c>
      <c r="I16" s="143">
        <f>EstClsISkimUtPerc</f>
        <v>0.92840000000000011</v>
      </c>
      <c r="M16" s="5"/>
    </row>
    <row r="17" spans="1:14" ht="15.75" x14ac:dyDescent="0.25">
      <c r="A17" s="134" t="s">
        <v>22</v>
      </c>
      <c r="B17" s="135">
        <f>SUM(C17:D17)</f>
        <v>370710.921128724</v>
      </c>
      <c r="C17" s="135">
        <f>Butterfat_Production*EstClsIIBFUtPerc</f>
        <v>94696.947395855997</v>
      </c>
      <c r="D17" s="135">
        <f>Skim_Production*EstClsIISkimUTPerc</f>
        <v>276013.97373286803</v>
      </c>
      <c r="E17" s="140"/>
      <c r="F17" s="126"/>
      <c r="G17" s="141" t="s">
        <v>22</v>
      </c>
      <c r="H17" s="142">
        <f>EstClsIIBFUtPerc</f>
        <v>0.16120000000000001</v>
      </c>
      <c r="I17" s="143">
        <f>EstClsIISkimUTPerc</f>
        <v>1.89E-2</v>
      </c>
      <c r="M17" s="5"/>
    </row>
    <row r="18" spans="1:14" ht="15.75" x14ac:dyDescent="0.25">
      <c r="A18" s="136" t="s">
        <v>23</v>
      </c>
      <c r="B18" s="137">
        <f>SUM(C18:D18)</f>
        <v>902683.70077394426</v>
      </c>
      <c r="C18" s="137">
        <f>Butterfat_Production*EstClsIIIBFUtPerc</f>
        <v>133057.43539182001</v>
      </c>
      <c r="D18" s="137">
        <f>Skim_Production*EstClsIIISkimUtPerc</f>
        <v>769626.26538212423</v>
      </c>
      <c r="E18" s="140"/>
      <c r="F18" s="126"/>
      <c r="G18" s="144" t="s">
        <v>23</v>
      </c>
      <c r="H18" s="145">
        <f>EstClsIIIBFUtPerc</f>
        <v>0.22650000000000003</v>
      </c>
      <c r="I18" s="146">
        <f>EstClsIIISkimUtPerc</f>
        <v>5.2700000000000011E-2</v>
      </c>
      <c r="M18" s="5"/>
    </row>
    <row r="19" spans="1:14" ht="15.75" x14ac:dyDescent="0.25">
      <c r="A19" s="131"/>
      <c r="B19" s="147">
        <f>SUM(B16:B18)</f>
        <v>15191364.000000004</v>
      </c>
      <c r="C19" s="147">
        <f>SUM(C16:C18)</f>
        <v>587450.04588000011</v>
      </c>
      <c r="D19" s="147">
        <f>SUM(D16:D18)</f>
        <v>14603913.954120003</v>
      </c>
      <c r="E19" s="126"/>
      <c r="F19" s="126"/>
      <c r="G19" s="148" t="s">
        <v>44</v>
      </c>
      <c r="H19" s="149">
        <f>SUM(H16:H18)</f>
        <v>1</v>
      </c>
      <c r="I19" s="150">
        <f>SUM(I16:I18)</f>
        <v>1.0000000000000002</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2679116.4321620343</v>
      </c>
      <c r="C22" s="159">
        <f>C16*MTClassIButterfatPrice</f>
        <v>1037721.9880213548</v>
      </c>
      <c r="D22" s="159">
        <f>D16*MTClassISkimPrice</f>
        <v>1641394.4441406794</v>
      </c>
      <c r="E22" s="159"/>
      <c r="F22" s="160" t="s">
        <v>21</v>
      </c>
      <c r="G22" s="219">
        <v>21.78</v>
      </c>
      <c r="H22" s="162">
        <v>2.8849999999999998</v>
      </c>
      <c r="I22" s="220">
        <v>0.12106219999999999</v>
      </c>
    </row>
    <row r="23" spans="1:14" ht="15.75" x14ac:dyDescent="0.25">
      <c r="A23" s="158" t="s">
        <v>22</v>
      </c>
      <c r="B23" s="159">
        <f>SUM(C23:D23)</f>
        <v>298655.70065182733</v>
      </c>
      <c r="C23" s="159">
        <f>C17*MTClassIIButterfatPrice</f>
        <v>271164.70886803366</v>
      </c>
      <c r="D23" s="159">
        <f>D17*MTClassIISkimPrice</f>
        <v>27490.991783793655</v>
      </c>
      <c r="E23" s="159"/>
      <c r="F23" s="160" t="s">
        <v>22</v>
      </c>
      <c r="G23" s="219">
        <v>19.633649999999999</v>
      </c>
      <c r="H23" s="162">
        <v>2.8635000000000002</v>
      </c>
      <c r="I23" s="220">
        <v>9.9599999999999994E-2</v>
      </c>
    </row>
    <row r="24" spans="1:14" ht="15.75" x14ac:dyDescent="0.25">
      <c r="A24" s="164" t="s">
        <v>23</v>
      </c>
      <c r="B24" s="165">
        <f>SUM(C24:D24)</f>
        <v>424109.9774285201</v>
      </c>
      <c r="C24" s="165">
        <f>C18*MTClassIIIButterfatPrice</f>
        <v>366772.82065755187</v>
      </c>
      <c r="D24" s="165">
        <f>D18*MTClassIIISkimPrice</f>
        <v>57337.156770968249</v>
      </c>
      <c r="E24" s="159"/>
      <c r="F24" s="160" t="s">
        <v>23</v>
      </c>
      <c r="G24" s="219">
        <v>16.837</v>
      </c>
      <c r="H24" s="162">
        <v>2.7565</v>
      </c>
      <c r="I24" s="220">
        <v>7.4499999999999997E-2</v>
      </c>
    </row>
    <row r="25" spans="1:14" ht="15.75" x14ac:dyDescent="0.25">
      <c r="A25" s="158" t="s">
        <v>119</v>
      </c>
      <c r="B25" s="159">
        <f>SUM(B22:B24)</f>
        <v>3401882.1102423817</v>
      </c>
      <c r="C25" s="159">
        <f>SUM(C22:C24)</f>
        <v>1675659.5175469401</v>
      </c>
      <c r="D25" s="159">
        <f>SUM(D22:D24)</f>
        <v>1726222.5926954413</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-48900</v>
      </c>
      <c r="E27" s="159"/>
      <c r="F27" s="126"/>
      <c r="G27" s="167">
        <v>-40500</v>
      </c>
      <c r="H27" s="168">
        <v>-57300</v>
      </c>
      <c r="I27" s="152"/>
      <c r="K27"/>
    </row>
    <row r="28" spans="1:14" ht="15.75" x14ac:dyDescent="0.25">
      <c r="A28" s="158" t="s">
        <v>121</v>
      </c>
      <c r="B28" s="159"/>
      <c r="C28" s="159"/>
      <c r="D28" s="159">
        <f>SurplusAdjustmentPckgClassI</f>
        <v>-155164.87</v>
      </c>
      <c r="E28" s="159"/>
      <c r="F28" s="126"/>
      <c r="G28" s="151"/>
      <c r="H28" s="151"/>
      <c r="I28" s="152"/>
      <c r="L28" s="231"/>
      <c r="M28" s="231"/>
      <c r="N28" s="231"/>
    </row>
    <row r="29" spans="1:14" ht="15.75" x14ac:dyDescent="0.25">
      <c r="A29" s="164" t="s">
        <v>132</v>
      </c>
      <c r="B29" s="169"/>
      <c r="C29" s="169"/>
      <c r="D29" s="165">
        <f>SurplusAdjustmentBulkSales</f>
        <v>0</v>
      </c>
      <c r="E29" s="159"/>
      <c r="F29" s="126"/>
      <c r="G29" s="151"/>
      <c r="H29" s="151"/>
      <c r="I29" s="152"/>
      <c r="L29" s="231"/>
      <c r="M29" s="231"/>
      <c r="N29" s="231"/>
    </row>
    <row r="30" spans="1:14" ht="15.75" x14ac:dyDescent="0.25">
      <c r="A30" s="166" t="s">
        <v>35</v>
      </c>
      <c r="B30" s="170">
        <f>C30+D30</f>
        <v>3197817.2402423816</v>
      </c>
      <c r="C30" s="170">
        <f>SUM(C25:C29)</f>
        <v>1675659.5175469401</v>
      </c>
      <c r="D30" s="170">
        <f>SUM(D25:D29)</f>
        <v>1522157.7226954415</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2.8524289499999997</v>
      </c>
      <c r="D33" s="175">
        <f>D30/Skim_Production</f>
        <v>0.10422943653855316</v>
      </c>
      <c r="E33" s="176"/>
      <c r="F33" s="160" t="s">
        <v>38</v>
      </c>
      <c r="G33" s="126"/>
      <c r="H33" s="175">
        <f>C30/Butterfat_Production</f>
        <v>2.8524289499999997</v>
      </c>
      <c r="I33" s="163">
        <f>D30/Skim_Production</f>
        <v>0.10422943653855316</v>
      </c>
    </row>
    <row r="34" spans="1:9" ht="15.75" x14ac:dyDescent="0.25">
      <c r="A34" s="164" t="s">
        <v>52</v>
      </c>
      <c r="B34" s="169"/>
      <c r="C34" s="177">
        <f>(1.5/100)*B8</f>
        <v>1.4420999999999998E-4</v>
      </c>
      <c r="D34" s="177">
        <f>(1.5/100)*B8</f>
        <v>1.4420999999999998E-4</v>
      </c>
      <c r="E34" s="178"/>
      <c r="F34" s="179" t="s">
        <v>53</v>
      </c>
      <c r="G34" s="169"/>
      <c r="H34" s="177">
        <f>-(1.5/100)*(1-B8)</f>
        <v>-1.4855789999999999E-2</v>
      </c>
      <c r="I34" s="180">
        <f>-(1.5/100)*(1-B8)</f>
        <v>-1.4855789999999999E-2</v>
      </c>
    </row>
    <row r="35" spans="1:9" ht="16.5" thickBot="1" x14ac:dyDescent="0.3">
      <c r="A35" s="181" t="s">
        <v>45</v>
      </c>
      <c r="B35" s="182"/>
      <c r="C35" s="183">
        <f>SUM(C33:C34)</f>
        <v>2.8525731599999999</v>
      </c>
      <c r="D35" s="183">
        <f>SUM(D33:D34)</f>
        <v>0.10437364653855316</v>
      </c>
      <c r="E35" s="184"/>
      <c r="F35" s="185" t="s">
        <v>46</v>
      </c>
      <c r="G35" s="182"/>
      <c r="H35" s="183">
        <f>SUM(H33:H34)</f>
        <v>2.8375731599999998</v>
      </c>
      <c r="I35" s="186">
        <f>SUM(I33:I34)</f>
        <v>8.9373646538553161E-2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5600101.4189680852</v>
      </c>
      <c r="C42" s="190">
        <f>EstClsIPckgSurpPoolBFUtPerc*Butterfat_Production</f>
        <v>135638.10344337084</v>
      </c>
      <c r="D42" s="190">
        <f>EstClsIPckgSurpPoolSkimUtPerc*Skim_Production</f>
        <v>5464463.3155247141</v>
      </c>
      <c r="E42" s="126"/>
      <c r="G42" s="211" t="s">
        <v>129</v>
      </c>
      <c r="H42" s="142">
        <f>EstClsIPckgSurpPoolBFUtPerc</f>
        <v>0.23089299999999999</v>
      </c>
      <c r="I42" s="143">
        <f>EstClsIPckgSurpPoolSkimUtPerc</f>
        <v>0.37417800000000001</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3127645</v>
      </c>
      <c r="C45" s="192"/>
      <c r="D45" s="192"/>
      <c r="E45" s="126"/>
      <c r="F45" s="142">
        <f>PercClsIPckgSurptoContigStates</f>
        <v>0.55849799999999994</v>
      </c>
      <c r="G45" s="126"/>
      <c r="H45" s="149"/>
      <c r="I45" s="150"/>
    </row>
    <row r="46" spans="1:9" ht="15.75" x14ac:dyDescent="0.25">
      <c r="A46" s="194" t="s">
        <v>117</v>
      </c>
      <c r="B46" s="192">
        <f>B42-B45</f>
        <v>2472456.4189680852</v>
      </c>
      <c r="C46" s="192"/>
      <c r="D46" s="192"/>
      <c r="E46" s="126"/>
      <c r="F46" s="195">
        <f>1-F45</f>
        <v>0.44150200000000006</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-79754.95</v>
      </c>
      <c r="C50" s="192"/>
      <c r="D50" s="192"/>
      <c r="E50" s="126"/>
      <c r="F50" s="197">
        <v>-2.5499999999999998</v>
      </c>
      <c r="G50" s="126"/>
      <c r="H50" s="149"/>
      <c r="I50" s="150"/>
    </row>
    <row r="51" spans="1:11" ht="15.75" x14ac:dyDescent="0.25">
      <c r="A51" s="198" t="s">
        <v>117</v>
      </c>
      <c r="B51" s="165">
        <f>ROUND(B46/100*F51,2)</f>
        <v>-75409.919999999998</v>
      </c>
      <c r="C51" s="192"/>
      <c r="D51" s="192"/>
      <c r="E51" s="126"/>
      <c r="F51" s="197">
        <v>-3.05</v>
      </c>
      <c r="G51" s="126"/>
      <c r="H51" s="149"/>
      <c r="I51" s="150"/>
    </row>
    <row r="52" spans="1:11" ht="31.5" x14ac:dyDescent="0.25">
      <c r="A52" s="199" t="s">
        <v>128</v>
      </c>
      <c r="B52" s="170">
        <f>SUM(B50:B51)</f>
        <v>-155164.87</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-8.09</v>
      </c>
      <c r="G59" s="167">
        <f>ROUND(L91,2)</f>
        <v>-8.09</v>
      </c>
      <c r="H59" s="168">
        <f>ROUND(J91,2)</f>
        <v>-8.09</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3.8670000000000003E-2</v>
      </c>
    </row>
    <row r="68" spans="1:16" hidden="1" x14ac:dyDescent="0.25">
      <c r="A68" s="1" t="s">
        <v>145</v>
      </c>
      <c r="B68" s="268">
        <v>2.8565</v>
      </c>
      <c r="C68" s="1" t="s">
        <v>198</v>
      </c>
    </row>
    <row r="69" spans="1:16" hidden="1" x14ac:dyDescent="0.25">
      <c r="A69" s="1" t="s">
        <v>146</v>
      </c>
      <c r="B69" s="268">
        <v>7.45E-3</v>
      </c>
      <c r="C69" s="1" t="s">
        <v>198</v>
      </c>
    </row>
    <row r="70" spans="1:16" hidden="1" x14ac:dyDescent="0.25">
      <c r="A70" s="1" t="s">
        <v>144</v>
      </c>
      <c r="B70" s="268">
        <v>9.2599999999999991E-3</v>
      </c>
      <c r="C70" s="1" t="s">
        <v>198</v>
      </c>
    </row>
    <row r="71" spans="1:16" hidden="1" x14ac:dyDescent="0.25">
      <c r="B71" s="230"/>
    </row>
    <row r="72" spans="1:16" hidden="1" x14ac:dyDescent="0.25">
      <c r="A72" t="s">
        <v>147</v>
      </c>
      <c r="B72" s="230">
        <f>MTClassIIISkimPrice</f>
        <v>7.4499999999999997E-2</v>
      </c>
    </row>
    <row r="73" spans="1:16" hidden="1" x14ac:dyDescent="0.25">
      <c r="A73" t="s">
        <v>148</v>
      </c>
      <c r="B73" s="230">
        <f>MTClassIIIButterfatPrice</f>
        <v>2.7565</v>
      </c>
    </row>
    <row r="74" spans="1:16" hidden="1" x14ac:dyDescent="0.25"/>
    <row r="75" spans="1:16" hidden="1" x14ac:dyDescent="0.25"/>
    <row r="76" spans="1:16" hidden="1" x14ac:dyDescent="0.25">
      <c r="A76" t="s">
        <v>149</v>
      </c>
      <c r="B76" s="231">
        <f>(100*B67*B68)+(100*(1-B67)*B70)</f>
        <v>11.936277080000002</v>
      </c>
    </row>
    <row r="77" spans="1:16" hidden="1" x14ac:dyDescent="0.25">
      <c r="A77" t="s">
        <v>150</v>
      </c>
      <c r="B77" s="231">
        <f>(100*B67*B73+100*(1-B67)*B72)</f>
        <v>17.821294000000002</v>
      </c>
    </row>
    <row r="78" spans="1:16" hidden="1" x14ac:dyDescent="0.25"/>
    <row r="79" spans="1:16" ht="60" hidden="1" x14ac:dyDescent="0.25">
      <c r="F79" s="232" t="s">
        <v>156</v>
      </c>
      <c r="G79" s="232" t="s">
        <v>157</v>
      </c>
      <c r="H79" s="232" t="s">
        <v>158</v>
      </c>
      <c r="J79" s="234" t="s">
        <v>159</v>
      </c>
      <c r="K79" s="239" t="s">
        <v>160</v>
      </c>
      <c r="L79" s="234" t="s">
        <v>161</v>
      </c>
      <c r="N79" s="238" t="s">
        <v>163</v>
      </c>
      <c r="O79" s="238" t="s">
        <v>162</v>
      </c>
      <c r="P79" s="238" t="s">
        <v>164</v>
      </c>
    </row>
    <row r="80" spans="1:16" hidden="1" x14ac:dyDescent="0.25">
      <c r="A80" t="s">
        <v>151</v>
      </c>
      <c r="B80" s="231">
        <f>B76</f>
        <v>11.936277080000002</v>
      </c>
    </row>
    <row r="81" spans="1:16" hidden="1" x14ac:dyDescent="0.25">
      <c r="A81" t="s">
        <v>153</v>
      </c>
      <c r="B81" s="231">
        <v>-2.2000000000000002</v>
      </c>
    </row>
    <row r="82" spans="1:16" hidden="1" x14ac:dyDescent="0.25">
      <c r="A82" s="244" t="s">
        <v>186</v>
      </c>
      <c r="B82" s="235">
        <f>-B77</f>
        <v>-17.821294000000002</v>
      </c>
    </row>
    <row r="83" spans="1:16" hidden="1" x14ac:dyDescent="0.25">
      <c r="A83" t="s">
        <v>152</v>
      </c>
      <c r="B83" s="231">
        <f>SUM(B80:B82)</f>
        <v>-8.0850169200000011</v>
      </c>
      <c r="F83" s="5">
        <f>N83/N$91</f>
        <v>1</v>
      </c>
      <c r="G83" s="5">
        <f>O83/O$91</f>
        <v>1</v>
      </c>
      <c r="H83" s="5">
        <f>P83/P$91</f>
        <v>1</v>
      </c>
      <c r="J83" s="231">
        <f>$B83*F83</f>
        <v>-8.0850169200000011</v>
      </c>
      <c r="K83" s="231">
        <f>$B83*G83</f>
        <v>-8.0850169200000011</v>
      </c>
      <c r="L83" s="231">
        <f>$B83*H83</f>
        <v>-8.0850169200000011</v>
      </c>
      <c r="N83" s="237">
        <f>O83-65000*2</f>
        <v>1088300</v>
      </c>
      <c r="O83" s="237">
        <v>1218300</v>
      </c>
      <c r="P83" s="237">
        <f>O83+65000*2</f>
        <v>1348300</v>
      </c>
    </row>
    <row r="84" spans="1:16" hidden="1" x14ac:dyDescent="0.25"/>
    <row r="85" spans="1:16" hidden="1" x14ac:dyDescent="0.25">
      <c r="A85" t="s">
        <v>187</v>
      </c>
      <c r="B85" s="233">
        <f>B77</f>
        <v>17.821294000000002</v>
      </c>
    </row>
    <row r="86" spans="1:16" hidden="1" x14ac:dyDescent="0.25">
      <c r="A86" t="s">
        <v>188</v>
      </c>
      <c r="B86" s="233">
        <v>0</v>
      </c>
    </row>
    <row r="87" spans="1:16" hidden="1" x14ac:dyDescent="0.25">
      <c r="A87" t="s">
        <v>154</v>
      </c>
      <c r="B87" s="233">
        <v>-5.43</v>
      </c>
    </row>
    <row r="88" spans="1:16" hidden="1" x14ac:dyDescent="0.25">
      <c r="A88" s="244" t="s">
        <v>186</v>
      </c>
      <c r="B88" s="235">
        <f>-B77</f>
        <v>-17.821294000000002</v>
      </c>
    </row>
    <row r="89" spans="1:16" hidden="1" x14ac:dyDescent="0.25">
      <c r="A89" t="s">
        <v>155</v>
      </c>
      <c r="B89" s="231">
        <f>SUM(B85:B88)</f>
        <v>-5.43</v>
      </c>
      <c r="F89" s="5">
        <f>N89/N$91</f>
        <v>0</v>
      </c>
      <c r="G89" s="5">
        <f t="shared" ref="G89:H89" si="0">O89/O$91</f>
        <v>0</v>
      </c>
      <c r="H89" s="5">
        <f t="shared" si="0"/>
        <v>0</v>
      </c>
      <c r="J89" s="235">
        <f>$B89*F89</f>
        <v>0</v>
      </c>
      <c r="K89" s="235">
        <f>$B89*G89</f>
        <v>0</v>
      </c>
      <c r="L89" s="235">
        <f>$B89*H89</f>
        <v>0</v>
      </c>
      <c r="N89" s="237">
        <v>0</v>
      </c>
      <c r="O89" s="237">
        <v>0</v>
      </c>
      <c r="P89" s="237">
        <v>0</v>
      </c>
    </row>
    <row r="90" spans="1:16" hidden="1" x14ac:dyDescent="0.25"/>
    <row r="91" spans="1:16" hidden="1" x14ac:dyDescent="0.25">
      <c r="F91" s="5">
        <f>SUM(F80:F89)</f>
        <v>1</v>
      </c>
      <c r="G91" s="5">
        <f>SUM(G80:G89)</f>
        <v>1</v>
      </c>
      <c r="H91" s="5">
        <f>SUM(H80:H89)</f>
        <v>1</v>
      </c>
      <c r="I91" s="236" t="s">
        <v>54</v>
      </c>
      <c r="J91" s="231">
        <f>SUM(J80:J89)</f>
        <v>-8.0850169200000011</v>
      </c>
      <c r="K91" s="240">
        <f>SUM(K80:K89)</f>
        <v>-8.0850169200000011</v>
      </c>
      <c r="L91" s="231">
        <f>SUM(L80:L89)</f>
        <v>-8.0850169200000011</v>
      </c>
      <c r="N91" s="237">
        <f>SUM(N80:N89)</f>
        <v>1088300</v>
      </c>
      <c r="O91" s="237">
        <f>SUM(O80:O89)</f>
        <v>1218300</v>
      </c>
      <c r="P91" s="237">
        <f>SUM(P80:P89)</f>
        <v>1348300</v>
      </c>
    </row>
    <row r="92" spans="1:16" hidden="1" x14ac:dyDescent="0.25"/>
  </sheetData>
  <sheetProtection algorithmName="SHA-512" hashValue="uoMdZeix1vbTz54A+2Qs7QaCVj6sedjBBJwkUkPhSl3+bYz/Mhi8Qqq+yel6xURAOc+PYXhQ1HN8OZauqPSjzQ==" saltValue="SCxuKTfL4ZCYiCWIbcQKlw==" spinCount="100000" sheet="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workbookViewId="0">
      <selection activeCell="A31" sqref="A31:XFD68"/>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45870</v>
      </c>
    </row>
    <row r="4" spans="1:2" x14ac:dyDescent="0.25">
      <c r="B4" s="37" t="s">
        <v>60</v>
      </c>
    </row>
    <row r="5" spans="1:2" x14ac:dyDescent="0.25">
      <c r="A5" s="2" t="s">
        <v>50</v>
      </c>
      <c r="B5" s="33">
        <f>PoolDailyProd</f>
        <v>490044</v>
      </c>
    </row>
    <row r="6" spans="1:2" x14ac:dyDescent="0.25">
      <c r="A6" s="36" t="s">
        <v>77</v>
      </c>
      <c r="B6" s="32">
        <f>PoolButterfatPercent</f>
        <v>3.8670000000000003E-2</v>
      </c>
    </row>
    <row r="7" spans="1:2" x14ac:dyDescent="0.25">
      <c r="A7" s="2" t="s">
        <v>51</v>
      </c>
      <c r="B7" s="32">
        <f>PoolOverQuotaProdPerc</f>
        <v>9.6139999999999993E-3</v>
      </c>
    </row>
    <row r="8" spans="1:2" x14ac:dyDescent="0.25">
      <c r="B8" s="31"/>
    </row>
    <row r="9" spans="1:2" x14ac:dyDescent="0.25">
      <c r="A9" t="s">
        <v>75</v>
      </c>
      <c r="B9" s="31"/>
    </row>
    <row r="10" spans="1:2" x14ac:dyDescent="0.25">
      <c r="A10" s="35" t="s">
        <v>21</v>
      </c>
      <c r="B10" s="32">
        <f>EstClsIBFUtPerc</f>
        <v>0.61230000000000007</v>
      </c>
    </row>
    <row r="11" spans="1:2" x14ac:dyDescent="0.25">
      <c r="A11" s="35" t="s">
        <v>22</v>
      </c>
      <c r="B11" s="32">
        <f>EstClsIIBFUtPerc</f>
        <v>0.16120000000000001</v>
      </c>
    </row>
    <row r="12" spans="1:2" x14ac:dyDescent="0.25">
      <c r="A12" s="35" t="s">
        <v>23</v>
      </c>
      <c r="B12" s="38">
        <f>EstClsIIIBFUtPerc</f>
        <v>0.22650000000000003</v>
      </c>
    </row>
    <row r="13" spans="1:2" x14ac:dyDescent="0.25">
      <c r="B13" s="32">
        <f>SUM(B10:B12)</f>
        <v>1</v>
      </c>
    </row>
    <row r="14" spans="1:2" x14ac:dyDescent="0.25">
      <c r="B14" s="31"/>
    </row>
    <row r="15" spans="1:2" x14ac:dyDescent="0.25">
      <c r="A15" t="s">
        <v>76</v>
      </c>
      <c r="B15" s="31"/>
    </row>
    <row r="16" spans="1:2" x14ac:dyDescent="0.25">
      <c r="A16" s="35" t="s">
        <v>21</v>
      </c>
      <c r="B16" s="32">
        <f>EstClsISkimUtPerc</f>
        <v>0.92840000000000011</v>
      </c>
    </row>
    <row r="17" spans="1:2" x14ac:dyDescent="0.25">
      <c r="A17" s="35" t="s">
        <v>22</v>
      </c>
      <c r="B17" s="32">
        <f>EstClsIISkimUTPerc</f>
        <v>1.89E-2</v>
      </c>
    </row>
    <row r="18" spans="1:2" x14ac:dyDescent="0.25">
      <c r="A18" s="35" t="s">
        <v>23</v>
      </c>
      <c r="B18" s="38">
        <f>EstClsIIISkimUtPerc</f>
        <v>5.2700000000000011E-2</v>
      </c>
    </row>
    <row r="19" spans="1:2" x14ac:dyDescent="0.25">
      <c r="B19" s="32">
        <f>SUM(B16:B18)</f>
        <v>1.0000000000000002</v>
      </c>
    </row>
    <row r="20" spans="1:2" x14ac:dyDescent="0.25">
      <c r="B20" s="32"/>
    </row>
    <row r="21" spans="1:2" ht="15.75" x14ac:dyDescent="0.25">
      <c r="A21" s="213" t="s">
        <v>141</v>
      </c>
      <c r="B21" s="39">
        <f>'Quota Price Estimator'!D27</f>
        <v>-48900</v>
      </c>
    </row>
    <row r="22" spans="1:2" x14ac:dyDescent="0.25">
      <c r="B22" s="31"/>
    </row>
    <row r="23" spans="1:2" x14ac:dyDescent="0.25">
      <c r="A23" t="s">
        <v>133</v>
      </c>
      <c r="B23" s="32">
        <f>EstClsIPckgSurpPoolBFUtPerc</f>
        <v>0.23089299999999999</v>
      </c>
    </row>
    <row r="24" spans="1:2" x14ac:dyDescent="0.25">
      <c r="A24" t="s">
        <v>134</v>
      </c>
      <c r="B24" s="32">
        <f>EstClsIPckgSurpPoolSkimUtPerc</f>
        <v>0.37417800000000001</v>
      </c>
    </row>
    <row r="25" spans="1:2" x14ac:dyDescent="0.25">
      <c r="B25" s="31"/>
    </row>
    <row r="26" spans="1:2" x14ac:dyDescent="0.25">
      <c r="A26" t="s">
        <v>136</v>
      </c>
      <c r="B26" s="32">
        <f>PercClsIPckgSurptoContigStates</f>
        <v>0.55849799999999994</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-8.09</v>
      </c>
    </row>
    <row r="32" spans="1:2" hidden="1" x14ac:dyDescent="0.25"/>
    <row r="33" spans="1:2" hidden="1" x14ac:dyDescent="0.25"/>
    <row r="34" spans="1:2" ht="30" hidden="1" x14ac:dyDescent="0.25">
      <c r="B34" s="4" t="s">
        <v>185</v>
      </c>
    </row>
    <row r="35" spans="1:2" hidden="1" x14ac:dyDescent="0.25">
      <c r="A35" t="s">
        <v>167</v>
      </c>
      <c r="B35" s="247">
        <f>'Dairy Revenue Estimator'!B9</f>
        <v>20.056062950970379</v>
      </c>
    </row>
    <row r="36" spans="1:2" hidden="1" x14ac:dyDescent="0.25">
      <c r="A36" t="s">
        <v>168</v>
      </c>
      <c r="B36" s="248">
        <f>'Dairy Revenue Estimator'!C9</f>
        <v>2.8525731599999999</v>
      </c>
    </row>
    <row r="37" spans="1:2" hidden="1" x14ac:dyDescent="0.25">
      <c r="A37" t="s">
        <v>169</v>
      </c>
      <c r="B37" s="248">
        <f>'Dairy Revenue Estimator'!D9</f>
        <v>0.10437364653855316</v>
      </c>
    </row>
    <row r="38" spans="1:2" hidden="1" x14ac:dyDescent="0.25">
      <c r="B38" s="245"/>
    </row>
    <row r="39" spans="1:2" hidden="1" x14ac:dyDescent="0.25">
      <c r="A39" t="s">
        <v>19</v>
      </c>
      <c r="B39" s="249">
        <f>'Quota Price Estimator'!B13</f>
        <v>15191364</v>
      </c>
    </row>
    <row r="40" spans="1:2" hidden="1" x14ac:dyDescent="0.25">
      <c r="B40" s="245"/>
    </row>
    <row r="41" spans="1:2" hidden="1" x14ac:dyDescent="0.25">
      <c r="A41" t="s">
        <v>170</v>
      </c>
      <c r="B41" s="250">
        <f>'Quota Price Estimator'!B7</f>
        <v>3.8670000000000003E-2</v>
      </c>
    </row>
    <row r="42" spans="1:2" hidden="1" x14ac:dyDescent="0.25">
      <c r="B42" s="246"/>
    </row>
    <row r="43" spans="1:2" hidden="1" x14ac:dyDescent="0.25">
      <c r="A43" t="s">
        <v>171</v>
      </c>
      <c r="B43" s="250">
        <f>'Quota Price Estimator'!B8</f>
        <v>9.6139999999999993E-3</v>
      </c>
    </row>
    <row r="44" spans="1:2" hidden="1" x14ac:dyDescent="0.25">
      <c r="B44" s="245"/>
    </row>
    <row r="45" spans="1:2" hidden="1" x14ac:dyDescent="0.25">
      <c r="A45" t="s">
        <v>172</v>
      </c>
      <c r="B45" s="251">
        <f>'Quota Price Estimator'!H16</f>
        <v>0.61230000000000007</v>
      </c>
    </row>
    <row r="46" spans="1:2" hidden="1" x14ac:dyDescent="0.25">
      <c r="A46" t="s">
        <v>173</v>
      </c>
      <c r="B46" s="251">
        <f>'Quota Price Estimator'!H17</f>
        <v>0.16120000000000001</v>
      </c>
    </row>
    <row r="47" spans="1:2" hidden="1" x14ac:dyDescent="0.25">
      <c r="A47" t="s">
        <v>174</v>
      </c>
      <c r="B47" s="251">
        <f>'Quota Price Estimator'!H18</f>
        <v>0.22650000000000003</v>
      </c>
    </row>
    <row r="48" spans="1:2" hidden="1" x14ac:dyDescent="0.25">
      <c r="B48" s="246"/>
    </row>
    <row r="49" spans="1:2" hidden="1" x14ac:dyDescent="0.25">
      <c r="A49" t="s">
        <v>175</v>
      </c>
      <c r="B49" s="251">
        <f>'Quota Price Estimator'!I16</f>
        <v>0.92840000000000011</v>
      </c>
    </row>
    <row r="50" spans="1:2" hidden="1" x14ac:dyDescent="0.25">
      <c r="A50" t="s">
        <v>176</v>
      </c>
      <c r="B50" s="251">
        <f>'Quota Price Estimator'!I17</f>
        <v>1.89E-2</v>
      </c>
    </row>
    <row r="51" spans="1:2" hidden="1" x14ac:dyDescent="0.25">
      <c r="A51" t="s">
        <v>177</v>
      </c>
      <c r="B51" s="251">
        <f>'Quota Price Estimator'!I18</f>
        <v>5.2700000000000011E-2</v>
      </c>
    </row>
    <row r="52" spans="1:2" hidden="1" x14ac:dyDescent="0.25">
      <c r="B52" s="245"/>
    </row>
    <row r="53" spans="1:2" hidden="1" x14ac:dyDescent="0.25">
      <c r="A53" t="s">
        <v>178</v>
      </c>
      <c r="B53" s="252">
        <f>ROUND('Quota Price Estimator'!B42/100,2)</f>
        <v>56001.01</v>
      </c>
    </row>
    <row r="54" spans="1:2" hidden="1" x14ac:dyDescent="0.25">
      <c r="A54" t="s">
        <v>179</v>
      </c>
      <c r="B54" s="253">
        <f>SurplusAdjustmentPckgClassI</f>
        <v>-155164.87</v>
      </c>
    </row>
    <row r="55" spans="1:2" hidden="1" x14ac:dyDescent="0.25">
      <c r="B55" s="245"/>
    </row>
    <row r="56" spans="1:2" hidden="1" x14ac:dyDescent="0.25">
      <c r="A56" t="s">
        <v>180</v>
      </c>
      <c r="B56" s="252">
        <f>ROUND('Quota Price Estimator'!B56/100,2)</f>
        <v>0</v>
      </c>
    </row>
    <row r="57" spans="1:2" hidden="1" x14ac:dyDescent="0.25">
      <c r="A57" t="s">
        <v>181</v>
      </c>
      <c r="B57" s="253">
        <f>'Quota Price Estimator'!F59</f>
        <v>-8.09</v>
      </c>
    </row>
    <row r="58" spans="1:2" hidden="1" x14ac:dyDescent="0.25">
      <c r="A58" t="s">
        <v>182</v>
      </c>
      <c r="B58" s="253">
        <f>SurplusAdjustmentBulkSales</f>
        <v>0</v>
      </c>
    </row>
    <row r="59" spans="1:2" hidden="1" x14ac:dyDescent="0.25">
      <c r="B59" s="245"/>
    </row>
    <row r="60" spans="1:2" hidden="1" x14ac:dyDescent="0.25">
      <c r="A60" t="s">
        <v>183</v>
      </c>
      <c r="B60" s="253">
        <f>'Quota Price Estimator'!D27</f>
        <v>-48900</v>
      </c>
    </row>
    <row r="61" spans="1:2" hidden="1" x14ac:dyDescent="0.25">
      <c r="B61" s="245"/>
    </row>
    <row r="62" spans="1:2" hidden="1" x14ac:dyDescent="0.25">
      <c r="A62" s="40" t="s">
        <v>184</v>
      </c>
      <c r="B62" s="253">
        <f>'Quota Price Estimator'!B30</f>
        <v>3197817.2402423816</v>
      </c>
    </row>
    <row r="63" spans="1:2" hidden="1" x14ac:dyDescent="0.25"/>
    <row r="64" spans="1:2" hidden="1" x14ac:dyDescent="0.25"/>
    <row r="65" hidden="1" x14ac:dyDescent="0.25"/>
    <row r="66" hidden="1" x14ac:dyDescent="0.25"/>
  </sheetData>
  <sheetProtection algorithmName="SHA-512" hashValue="S7lAgKZ7pWUVhfnT+qqcOwvgjdCrCOwsGw2/yghNcpUQmDQ10Cf56rHWId8Le873b64+3+udB4CbX7uJTxqFIg==" saltValue="QVdAz129qcQ5JFraJ/wp1A=="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41"/>
  <sheetViews>
    <sheetView topLeftCell="A105" workbookViewId="0">
      <selection activeCell="F155" sqref="F155"/>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212</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hidden="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hidden="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hidden="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hidden="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hidden="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hidden="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hidden="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hidden="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hidden="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hidden="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hidden="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hidden="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hidden="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hidden="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hidden="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hidden="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hidden="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hidden="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hidden="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hidden="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hidden="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hidden="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hidden="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hidden="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hidden="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hidden="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9" si="9">SUM(B96:D96)</f>
        <v>1</v>
      </c>
      <c r="G96" s="15">
        <v>45108</v>
      </c>
      <c r="H96" s="13">
        <v>0.90710000000000002</v>
      </c>
      <c r="I96" s="13">
        <v>3.9800000000000002E-2</v>
      </c>
      <c r="J96" s="13">
        <v>5.3100000000000001E-2</v>
      </c>
      <c r="K96" s="13">
        <f t="shared" ref="K96:K119"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v>45748</v>
      </c>
      <c r="B117" s="13">
        <v>0.50600000000000001</v>
      </c>
      <c r="C117" s="13">
        <v>0.17299999999999999</v>
      </c>
      <c r="D117" s="13">
        <v>0.32100000000000001</v>
      </c>
      <c r="E117" s="13">
        <f t="shared" si="9"/>
        <v>1</v>
      </c>
      <c r="G117" s="15">
        <v>45748</v>
      </c>
      <c r="H117" s="13">
        <v>0.84389999999999998</v>
      </c>
      <c r="I117" s="13">
        <v>2.4899999999999999E-2</v>
      </c>
      <c r="J117" s="13">
        <v>0.13120000000000001</v>
      </c>
      <c r="K117" s="13">
        <f t="shared" si="10"/>
        <v>1</v>
      </c>
    </row>
    <row r="118" spans="1:17" x14ac:dyDescent="0.25">
      <c r="A118" s="14">
        <v>45778</v>
      </c>
      <c r="B118" s="13">
        <v>0.51370000000000005</v>
      </c>
      <c r="C118" s="13">
        <v>0.18440000000000001</v>
      </c>
      <c r="D118" s="13">
        <v>0.3019</v>
      </c>
      <c r="E118" s="13">
        <f t="shared" si="9"/>
        <v>1</v>
      </c>
      <c r="G118" s="15">
        <v>45778</v>
      </c>
      <c r="H118" s="13">
        <v>0.874</v>
      </c>
      <c r="I118" s="13">
        <v>1.5699999999999999E-2</v>
      </c>
      <c r="J118" s="13">
        <v>0.1103</v>
      </c>
      <c r="K118" s="13">
        <f t="shared" si="10"/>
        <v>1</v>
      </c>
    </row>
    <row r="119" spans="1:17" x14ac:dyDescent="0.25">
      <c r="A119" s="14">
        <v>45809</v>
      </c>
      <c r="B119" s="13">
        <v>0.54339999999999999</v>
      </c>
      <c r="C119" s="13">
        <v>0.19620000000000001</v>
      </c>
      <c r="D119" s="13">
        <v>0.26040000000000002</v>
      </c>
      <c r="E119" s="13">
        <f t="shared" si="9"/>
        <v>1</v>
      </c>
      <c r="G119" s="15">
        <v>45809</v>
      </c>
      <c r="H119" s="13">
        <v>0.88580000000000003</v>
      </c>
      <c r="I119" s="13">
        <v>2.2499999999999999E-2</v>
      </c>
      <c r="J119" s="13">
        <v>9.1700000000000004E-2</v>
      </c>
      <c r="K119" s="13">
        <f t="shared" si="10"/>
        <v>1</v>
      </c>
    </row>
    <row r="120" spans="1:17" x14ac:dyDescent="0.25">
      <c r="A120" s="14"/>
      <c r="B120" s="13"/>
      <c r="C120" s="13"/>
      <c r="D120" s="13"/>
      <c r="E120" s="13"/>
      <c r="G120" s="15"/>
      <c r="H120" s="13"/>
      <c r="I120" s="13"/>
      <c r="J120" s="13"/>
      <c r="K120" s="13"/>
    </row>
    <row r="121" spans="1:17" x14ac:dyDescent="0.25">
      <c r="A121" s="14"/>
      <c r="B121" s="13"/>
      <c r="C121" s="13"/>
      <c r="D121" s="13"/>
      <c r="E121" s="13"/>
      <c r="G121" s="15"/>
      <c r="H121" s="13"/>
      <c r="I121" s="13"/>
      <c r="J121" s="13"/>
      <c r="K121" s="13"/>
    </row>
    <row r="122" spans="1:17" x14ac:dyDescent="0.25">
      <c r="A122" s="14"/>
      <c r="B122" s="13"/>
      <c r="C122" s="13"/>
      <c r="D122" s="13"/>
      <c r="E122" s="13"/>
      <c r="G122" s="15"/>
      <c r="H122" s="13"/>
      <c r="I122" s="13"/>
      <c r="J122" s="13"/>
      <c r="K122" s="13"/>
    </row>
    <row r="123" spans="1:17" x14ac:dyDescent="0.25">
      <c r="A123" s="14"/>
      <c r="B123" s="13"/>
      <c r="C123" s="13"/>
      <c r="D123" s="13"/>
      <c r="E123" s="13"/>
      <c r="G123" s="15"/>
      <c r="H123" s="13"/>
      <c r="I123" s="13"/>
      <c r="J123" s="13"/>
      <c r="K123" s="13"/>
    </row>
    <row r="124" spans="1:17" x14ac:dyDescent="0.25">
      <c r="A124" s="16" t="s">
        <v>62</v>
      </c>
      <c r="B124" s="17"/>
      <c r="C124" s="17"/>
      <c r="D124" s="17"/>
      <c r="E124" s="17"/>
      <c r="G124" s="16" t="s">
        <v>61</v>
      </c>
      <c r="H124" s="19"/>
      <c r="I124" s="19"/>
      <c r="J124" s="19"/>
      <c r="K124" s="19"/>
    </row>
    <row r="125" spans="1:17" x14ac:dyDescent="0.25">
      <c r="A125" s="27">
        <f>Pooling_Month</f>
        <v>45870</v>
      </c>
      <c r="B125" s="28" t="s">
        <v>21</v>
      </c>
      <c r="C125" s="28" t="s">
        <v>22</v>
      </c>
      <c r="D125" s="28" t="s">
        <v>23</v>
      </c>
      <c r="E125" s="28" t="s">
        <v>54</v>
      </c>
      <c r="G125" s="27">
        <f>Pooling_Month</f>
        <v>45870</v>
      </c>
      <c r="H125" s="28" t="s">
        <v>21</v>
      </c>
      <c r="I125" s="28" t="s">
        <v>22</v>
      </c>
      <c r="J125" s="28" t="s">
        <v>23</v>
      </c>
      <c r="K125" s="28" t="s">
        <v>54</v>
      </c>
      <c r="P125" s="100" t="s">
        <v>165</v>
      </c>
      <c r="Q125" s="100" t="s">
        <v>166</v>
      </c>
    </row>
    <row r="126" spans="1:17" x14ac:dyDescent="0.25">
      <c r="A126" s="31" t="s">
        <v>60</v>
      </c>
      <c r="B126" s="32">
        <v>0.61230000000000007</v>
      </c>
      <c r="C126" s="32">
        <v>0.16120000000000001</v>
      </c>
      <c r="D126" s="32">
        <v>0.22650000000000003</v>
      </c>
      <c r="E126" s="13">
        <f>SUM(B126:D126)</f>
        <v>1</v>
      </c>
      <c r="G126" s="31" t="s">
        <v>60</v>
      </c>
      <c r="H126" s="32">
        <v>0.92840000000000011</v>
      </c>
      <c r="I126" s="32">
        <v>1.89E-2</v>
      </c>
      <c r="J126" s="32">
        <v>5.2700000000000011E-2</v>
      </c>
      <c r="K126" s="13">
        <f>SUM(H126:J126)</f>
        <v>1.0000000000000002</v>
      </c>
      <c r="M126" s="30"/>
      <c r="O126" s="99"/>
      <c r="P126" s="13">
        <f>1-E126</f>
        <v>0</v>
      </c>
      <c r="Q126" s="227">
        <f>1-K126</f>
        <v>0</v>
      </c>
    </row>
    <row r="127" spans="1:17" ht="16.5" hidden="1" customHeight="1" x14ac:dyDescent="0.25"/>
    <row r="128" spans="1:17" ht="15.75" hidden="1" customHeight="1" x14ac:dyDescent="0.25">
      <c r="L128" t="s">
        <v>197</v>
      </c>
      <c r="M128" s="100"/>
      <c r="N128" s="100"/>
      <c r="O128" s="100"/>
      <c r="P128" s="100"/>
      <c r="Q128" s="100"/>
    </row>
    <row r="129" spans="1:17" hidden="1" x14ac:dyDescent="0.25">
      <c r="A129" s="40" t="s">
        <v>213</v>
      </c>
      <c r="B129" s="13">
        <f>B109-B107</f>
        <v>6.8900000000000072E-2</v>
      </c>
      <c r="C129" s="13">
        <f t="shared" ref="C129:K129" si="11">C109-C107</f>
        <v>-3.5000000000000003E-2</v>
      </c>
      <c r="D129" s="13">
        <f t="shared" si="11"/>
        <v>-3.3899999999999986E-2</v>
      </c>
      <c r="E129" s="13">
        <f t="shared" si="11"/>
        <v>0</v>
      </c>
      <c r="F129" s="13"/>
      <c r="G129" s="13"/>
      <c r="H129" s="13">
        <f t="shared" si="11"/>
        <v>4.2600000000000082E-2</v>
      </c>
      <c r="I129" s="13">
        <f t="shared" si="11"/>
        <v>-3.599999999999999E-3</v>
      </c>
      <c r="J129" s="13">
        <f t="shared" si="11"/>
        <v>-3.8999999999999993E-2</v>
      </c>
      <c r="K129" s="13">
        <f t="shared" si="11"/>
        <v>0</v>
      </c>
      <c r="M129" s="30"/>
      <c r="O129" s="99"/>
      <c r="Q129" s="30"/>
    </row>
    <row r="130" spans="1:17" ht="15.75" hidden="1" customHeight="1" x14ac:dyDescent="0.25">
      <c r="A130" s="93" t="s">
        <v>214</v>
      </c>
      <c r="B130" s="13">
        <f>B119</f>
        <v>0.54339999999999999</v>
      </c>
      <c r="C130" s="13">
        <f t="shared" ref="C130:K130" si="12">C119</f>
        <v>0.19620000000000001</v>
      </c>
      <c r="D130" s="13">
        <f t="shared" si="12"/>
        <v>0.26040000000000002</v>
      </c>
      <c r="E130" s="13">
        <f t="shared" si="12"/>
        <v>1</v>
      </c>
      <c r="F130" s="13"/>
      <c r="G130" s="13"/>
      <c r="H130" s="13">
        <f t="shared" si="12"/>
        <v>0.88580000000000003</v>
      </c>
      <c r="I130" s="13">
        <f t="shared" si="12"/>
        <v>2.2499999999999999E-2</v>
      </c>
      <c r="J130" s="13">
        <f t="shared" si="12"/>
        <v>9.1700000000000004E-2</v>
      </c>
      <c r="K130" s="13">
        <f t="shared" si="12"/>
        <v>1</v>
      </c>
      <c r="M130" s="30">
        <f>C130/I130</f>
        <v>8.7200000000000006</v>
      </c>
      <c r="N130" s="228"/>
      <c r="O130" s="99">
        <f>C130/I130</f>
        <v>8.7200000000000006</v>
      </c>
      <c r="Q130" s="30"/>
    </row>
    <row r="131" spans="1:17" hidden="1" x14ac:dyDescent="0.25">
      <c r="A131" s="269" t="s">
        <v>204</v>
      </c>
      <c r="B131" s="257">
        <f>SUM(B129:B130)</f>
        <v>0.61230000000000007</v>
      </c>
      <c r="C131" s="257">
        <f t="shared" ref="C131:J131" si="13">SUM(C129:C130)</f>
        <v>0.16120000000000001</v>
      </c>
      <c r="D131" s="257">
        <f t="shared" si="13"/>
        <v>0.22650000000000003</v>
      </c>
      <c r="E131" s="257">
        <f t="shared" si="13"/>
        <v>1</v>
      </c>
      <c r="F131" s="257"/>
      <c r="G131" s="257"/>
      <c r="H131" s="257">
        <f t="shared" si="13"/>
        <v>0.92840000000000011</v>
      </c>
      <c r="I131" s="257">
        <f t="shared" si="13"/>
        <v>1.89E-2</v>
      </c>
      <c r="J131" s="257">
        <f t="shared" si="13"/>
        <v>5.2700000000000011E-2</v>
      </c>
      <c r="K131" s="13">
        <f t="shared" ref="K131" si="14">SUM(K129:K130)</f>
        <v>1</v>
      </c>
      <c r="M131" s="30">
        <f>C131/I131</f>
        <v>8.5291005291005302</v>
      </c>
      <c r="O131" s="99">
        <f>C131/I131</f>
        <v>8.5291005291005302</v>
      </c>
      <c r="Q131" s="30"/>
    </row>
    <row r="132" spans="1:17" hidden="1" x14ac:dyDescent="0.25">
      <c r="A132" s="92" t="s">
        <v>205</v>
      </c>
      <c r="B132" s="13">
        <f>B109</f>
        <v>0.56100000000000005</v>
      </c>
      <c r="C132" s="13">
        <f t="shared" ref="C132:J132" si="15">C109</f>
        <v>0.1847</v>
      </c>
      <c r="D132" s="13">
        <f t="shared" si="15"/>
        <v>0.25430000000000003</v>
      </c>
      <c r="E132" s="13">
        <f t="shared" si="15"/>
        <v>1</v>
      </c>
      <c r="F132" s="13"/>
      <c r="G132" s="13"/>
      <c r="H132" s="13">
        <f t="shared" si="15"/>
        <v>0.89570000000000005</v>
      </c>
      <c r="I132" s="13">
        <f t="shared" si="15"/>
        <v>3.3399999999999999E-2</v>
      </c>
      <c r="J132" s="13">
        <f t="shared" si="15"/>
        <v>7.0900000000000005E-2</v>
      </c>
      <c r="K132" s="13">
        <f t="shared" ref="K132" si="16">K108</f>
        <v>1</v>
      </c>
      <c r="M132" s="30">
        <f>C132/I132</f>
        <v>5.5299401197604796</v>
      </c>
      <c r="N132" s="228"/>
      <c r="O132" s="99">
        <f>C132/I132</f>
        <v>5.5299401197604796</v>
      </c>
      <c r="Q132" s="30"/>
    </row>
    <row r="133" spans="1:17" hidden="1" x14ac:dyDescent="0.25">
      <c r="A133" t="s">
        <v>83</v>
      </c>
      <c r="B133" s="257">
        <f>AVERAGE(B131:B132)</f>
        <v>0.58665000000000012</v>
      </c>
      <c r="C133" s="257">
        <f t="shared" ref="C133:D133" si="17">AVERAGE(C131:C132)</f>
        <v>0.17294999999999999</v>
      </c>
      <c r="D133" s="257">
        <f t="shared" si="17"/>
        <v>0.24040000000000003</v>
      </c>
      <c r="E133" s="13">
        <f t="shared" ref="E133:J133" si="18">AVERAGE(E131:E132)</f>
        <v>1</v>
      </c>
      <c r="F133" s="257"/>
      <c r="G133" s="257"/>
      <c r="H133" s="257">
        <f t="shared" si="18"/>
        <v>0.91205000000000003</v>
      </c>
      <c r="I133" s="257">
        <f t="shared" si="18"/>
        <v>2.615E-2</v>
      </c>
      <c r="J133" s="257">
        <f t="shared" si="18"/>
        <v>6.1800000000000008E-2</v>
      </c>
      <c r="K133" s="13">
        <f>AVERAGE(K131:K132)</f>
        <v>1</v>
      </c>
      <c r="L133" s="257"/>
      <c r="M133" s="30"/>
      <c r="O133" s="99"/>
      <c r="Q133" s="30"/>
    </row>
    <row r="134" spans="1:17" hidden="1" x14ac:dyDescent="0.25">
      <c r="E134" s="13"/>
      <c r="K134" s="13"/>
    </row>
    <row r="135" spans="1:17" hidden="1" x14ac:dyDescent="0.25">
      <c r="A135" s="92" t="s">
        <v>206</v>
      </c>
      <c r="B135" s="13">
        <f>B97</f>
        <v>0.57669999999999999</v>
      </c>
      <c r="C135" s="13">
        <f t="shared" ref="C135:K135" si="19">C97</f>
        <v>0.17349999999999999</v>
      </c>
      <c r="D135" s="13">
        <f t="shared" si="19"/>
        <v>0.24979999999999999</v>
      </c>
      <c r="E135" s="13">
        <f t="shared" si="19"/>
        <v>1</v>
      </c>
      <c r="F135" s="13"/>
      <c r="G135" s="13"/>
      <c r="H135" s="13">
        <f t="shared" si="19"/>
        <v>0.90329999999999999</v>
      </c>
      <c r="I135" s="13">
        <f t="shared" si="19"/>
        <v>3.0599999999999999E-2</v>
      </c>
      <c r="J135" s="13">
        <f t="shared" si="19"/>
        <v>6.6100000000000006E-2</v>
      </c>
      <c r="K135" s="13">
        <f t="shared" si="19"/>
        <v>1</v>
      </c>
      <c r="M135" s="30">
        <f>C135/I135</f>
        <v>5.6699346405228752</v>
      </c>
      <c r="N135" s="228"/>
      <c r="O135" s="99">
        <f>C135/I135</f>
        <v>5.6699346405228752</v>
      </c>
    </row>
    <row r="136" spans="1:17" hidden="1" x14ac:dyDescent="0.25">
      <c r="A136" s="91" t="s">
        <v>207</v>
      </c>
      <c r="B136" s="13">
        <f>B84</f>
        <v>0.47639829350388552</v>
      </c>
      <c r="C136" s="13">
        <f t="shared" ref="C136:K136" si="20">C84</f>
        <v>0.17040150431885578</v>
      </c>
      <c r="D136" s="13">
        <f t="shared" si="20"/>
        <v>0.35320020217725867</v>
      </c>
      <c r="E136" s="13">
        <f t="shared" si="20"/>
        <v>1</v>
      </c>
      <c r="F136" s="13"/>
      <c r="G136" s="13"/>
      <c r="H136" s="13">
        <f t="shared" si="20"/>
        <v>0.81953017457460298</v>
      </c>
      <c r="I136" s="13">
        <f t="shared" si="20"/>
        <v>4.6930259727963324E-2</v>
      </c>
      <c r="J136" s="13">
        <f t="shared" si="20"/>
        <v>0.13353956569743372</v>
      </c>
      <c r="K136" s="13">
        <f t="shared" si="20"/>
        <v>1</v>
      </c>
      <c r="M136" s="30">
        <f>C136/I136</f>
        <v>3.6309516569183251</v>
      </c>
      <c r="N136" s="228"/>
      <c r="O136" s="99">
        <f>C136/I136</f>
        <v>3.6309516569183251</v>
      </c>
    </row>
    <row r="137" spans="1:17" hidden="1" x14ac:dyDescent="0.25">
      <c r="A137" s="40" t="s">
        <v>208</v>
      </c>
      <c r="B137" s="13">
        <f>AVERAGE(B131,B132,B135,B136)</f>
        <v>0.55659957337597143</v>
      </c>
      <c r="C137" s="13">
        <f t="shared" ref="C137:D137" si="21">AVERAGE(C131,C132,C135,C136)</f>
        <v>0.17245037607971395</v>
      </c>
      <c r="D137" s="13">
        <f t="shared" si="21"/>
        <v>0.27095005054431465</v>
      </c>
      <c r="E137" s="13">
        <f t="shared" ref="E137:K137" si="22">AVERAGE(E131,E132,E135,E136)</f>
        <v>1</v>
      </c>
      <c r="F137" s="13"/>
      <c r="G137" s="13"/>
      <c r="H137" s="13">
        <f t="shared" si="22"/>
        <v>0.88673254364365084</v>
      </c>
      <c r="I137" s="13">
        <f t="shared" si="22"/>
        <v>3.2457564931990833E-2</v>
      </c>
      <c r="J137" s="13">
        <f t="shared" si="22"/>
        <v>8.0809891424358432E-2</v>
      </c>
      <c r="K137" s="13">
        <f t="shared" si="22"/>
        <v>1</v>
      </c>
    </row>
    <row r="138" spans="1:17" hidden="1" x14ac:dyDescent="0.25">
      <c r="A138" s="40" t="s">
        <v>209</v>
      </c>
      <c r="B138" s="13">
        <f>AVERAGE(B131,B132,B135)</f>
        <v>0.58333333333333337</v>
      </c>
      <c r="C138" s="13">
        <f t="shared" ref="C138:D138" si="23">AVERAGE(C131,C132,C135)</f>
        <v>0.17313333333333333</v>
      </c>
      <c r="D138" s="13">
        <f t="shared" si="23"/>
        <v>0.24353333333333335</v>
      </c>
      <c r="E138" s="13">
        <f t="shared" ref="E138:K138" si="24">AVERAGE(E131,E132,E135)</f>
        <v>1</v>
      </c>
      <c r="F138" s="13"/>
      <c r="G138" s="13"/>
      <c r="H138" s="13">
        <f t="shared" si="24"/>
        <v>0.90913333333333346</v>
      </c>
      <c r="I138" s="13">
        <f t="shared" si="24"/>
        <v>2.7633333333333333E-2</v>
      </c>
      <c r="J138" s="13">
        <f t="shared" si="24"/>
        <v>6.323333333333335E-2</v>
      </c>
      <c r="K138" s="13">
        <f t="shared" si="24"/>
        <v>1</v>
      </c>
    </row>
    <row r="139" spans="1:17" hidden="1" x14ac:dyDescent="0.25"/>
    <row r="141" spans="1:17" x14ac:dyDescent="0.25">
      <c r="B141" s="227"/>
    </row>
  </sheetData>
  <sheetProtection algorithmName="SHA-512" hashValue="7H8m+CjLwC5b4fCURky7B3rqW8vP7RxaLSd9Lh2Z74CG+JAL9BYkzixrdnHOpWyTIM95OK8g86AKI0nQBFBEnA==" saltValue="xzvrs3IC7ByVq7lhKTmDeQ=="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60"/>
  <sheetViews>
    <sheetView topLeftCell="A132" workbookViewId="0">
      <selection activeCell="B166" sqref="B166"/>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v>45748</v>
      </c>
      <c r="B139" s="25">
        <v>4.0289999999999999E-2</v>
      </c>
    </row>
    <row r="140" spans="1:2" x14ac:dyDescent="0.25">
      <c r="A140" s="14">
        <v>45778</v>
      </c>
      <c r="B140" s="25">
        <v>3.9844999999999998E-2</v>
      </c>
    </row>
    <row r="141" spans="1:2" x14ac:dyDescent="0.25">
      <c r="A141" s="14">
        <v>45809</v>
      </c>
      <c r="B141" s="25">
        <v>3.9418000000000002E-2</v>
      </c>
    </row>
    <row r="142" spans="1:2" x14ac:dyDescent="0.25">
      <c r="A142" s="14"/>
      <c r="B142" s="25"/>
    </row>
    <row r="143" spans="1:2" x14ac:dyDescent="0.25">
      <c r="A143" s="14"/>
      <c r="B143" s="25"/>
    </row>
    <row r="144" spans="1:2" x14ac:dyDescent="0.25">
      <c r="A144" s="14"/>
      <c r="B144" s="25"/>
    </row>
    <row r="145" spans="1:5" x14ac:dyDescent="0.25">
      <c r="A145" s="261"/>
      <c r="B145" s="25"/>
    </row>
    <row r="146" spans="1:5" ht="45" x14ac:dyDescent="0.25">
      <c r="A146" s="27">
        <f>Pooling_Month</f>
        <v>45870</v>
      </c>
      <c r="B146" s="20" t="s">
        <v>65</v>
      </c>
    </row>
    <row r="147" spans="1:5" ht="14.1" customHeight="1" x14ac:dyDescent="0.25">
      <c r="A147" s="31" t="s">
        <v>60</v>
      </c>
      <c r="B147" s="32">
        <v>3.8670000000000003E-2</v>
      </c>
    </row>
    <row r="148" spans="1:5" hidden="1" x14ac:dyDescent="0.25"/>
    <row r="149" spans="1:5" ht="14.25" hidden="1" customHeight="1" x14ac:dyDescent="0.25">
      <c r="E149" t="s">
        <v>192</v>
      </c>
    </row>
    <row r="150" spans="1:5" hidden="1" x14ac:dyDescent="0.25">
      <c r="A150" s="40" t="s">
        <v>213</v>
      </c>
      <c r="B150" s="25">
        <f>B131-B129</f>
        <v>-7.4799999999999867E-4</v>
      </c>
    </row>
    <row r="151" spans="1:5" hidden="1" x14ac:dyDescent="0.25">
      <c r="A151" s="93" t="s">
        <v>214</v>
      </c>
      <c r="B151" s="25">
        <f>B141</f>
        <v>3.9418000000000002E-2</v>
      </c>
    </row>
    <row r="152" spans="1:5" hidden="1" x14ac:dyDescent="0.25">
      <c r="A152" s="269" t="s">
        <v>210</v>
      </c>
      <c r="B152" s="25">
        <f>SUM(B150:B151)</f>
        <v>3.8670000000000003E-2</v>
      </c>
    </row>
    <row r="153" spans="1:5" hidden="1" x14ac:dyDescent="0.25">
      <c r="A153" s="92" t="s">
        <v>205</v>
      </c>
      <c r="B153" s="25">
        <f>B131</f>
        <v>3.8317999999999998E-2</v>
      </c>
    </row>
    <row r="154" spans="1:5" hidden="1" x14ac:dyDescent="0.25">
      <c r="A154" t="s">
        <v>83</v>
      </c>
      <c r="B154" s="25">
        <f>AVERAGE(B152:B153)</f>
        <v>3.8494E-2</v>
      </c>
    </row>
    <row r="155" spans="1:5" hidden="1" x14ac:dyDescent="0.25">
      <c r="B155" s="25"/>
    </row>
    <row r="156" spans="1:5" hidden="1" x14ac:dyDescent="0.25">
      <c r="A156" s="92" t="s">
        <v>206</v>
      </c>
      <c r="B156" s="25">
        <f>B119</f>
        <v>3.8273000000000001E-2</v>
      </c>
    </row>
    <row r="157" spans="1:5" hidden="1" x14ac:dyDescent="0.25">
      <c r="A157" s="91" t="s">
        <v>207</v>
      </c>
      <c r="B157" s="25">
        <f>B107</f>
        <v>3.7207999999999998E-2</v>
      </c>
    </row>
    <row r="158" spans="1:5" hidden="1" x14ac:dyDescent="0.25">
      <c r="A158" s="40" t="s">
        <v>208</v>
      </c>
      <c r="B158" s="25">
        <f>(B152+B153+B156+B157)/4</f>
        <v>3.8117249999999998E-2</v>
      </c>
    </row>
    <row r="159" spans="1:5" hidden="1" x14ac:dyDescent="0.25">
      <c r="A159" s="40" t="s">
        <v>211</v>
      </c>
      <c r="B159" s="25">
        <f>(B152+B153+B156)/3</f>
        <v>3.8420333333333334E-2</v>
      </c>
    </row>
    <row r="160" spans="1:5" x14ac:dyDescent="0.25">
      <c r="A160" s="40"/>
    </row>
  </sheetData>
  <sheetProtection algorithmName="SHA-512" hashValue="j+1O2Dbi3dYe9mSIx/02LuFfg3IVKK7JeYM3IUjdrzNGG+kZxJKOtn24jNneq6LZ0Y+8MMda6j3qxplbtmjsFg==" saltValue="xPHFUNCXFkbMSJD5+a39ZA=="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60"/>
  <sheetViews>
    <sheetView topLeftCell="A126" workbookViewId="0">
      <selection activeCell="A150" sqref="A150:XFD155"/>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v>45748</v>
      </c>
      <c r="B139" s="21">
        <v>512681</v>
      </c>
    </row>
    <row r="140" spans="1:2" x14ac:dyDescent="0.25">
      <c r="A140" s="14">
        <v>45778</v>
      </c>
      <c r="B140" s="21">
        <v>517315</v>
      </c>
    </row>
    <row r="141" spans="1:2" x14ac:dyDescent="0.25">
      <c r="A141" s="14">
        <v>45809</v>
      </c>
      <c r="B141" s="21">
        <v>514782</v>
      </c>
    </row>
    <row r="142" spans="1:2" x14ac:dyDescent="0.25">
      <c r="A142" s="14"/>
      <c r="B142" s="21"/>
    </row>
    <row r="143" spans="1:2" x14ac:dyDescent="0.25">
      <c r="A143" s="14"/>
      <c r="B143" s="21"/>
    </row>
    <row r="144" spans="1:2" x14ac:dyDescent="0.25">
      <c r="A144" s="14"/>
      <c r="B144" s="21"/>
    </row>
    <row r="145" spans="1:6" x14ac:dyDescent="0.25">
      <c r="A145" s="14"/>
      <c r="B145" s="21"/>
    </row>
    <row r="146" spans="1:6" ht="45" x14ac:dyDescent="0.25">
      <c r="A146" s="27">
        <f>Pooling_Month</f>
        <v>45870</v>
      </c>
      <c r="B146" s="20" t="s">
        <v>67</v>
      </c>
    </row>
    <row r="147" spans="1:6" x14ac:dyDescent="0.25">
      <c r="A147" s="31" t="s">
        <v>60</v>
      </c>
      <c r="B147" s="33">
        <v>490044</v>
      </c>
    </row>
    <row r="148" spans="1:6" x14ac:dyDescent="0.25">
      <c r="B148" s="267"/>
    </row>
    <row r="149" spans="1:6" ht="17.25" customHeight="1" x14ac:dyDescent="0.25"/>
    <row r="150" spans="1:6" hidden="1" x14ac:dyDescent="0.25"/>
    <row r="151" spans="1:6" ht="30" hidden="1" x14ac:dyDescent="0.25">
      <c r="A151" s="40" t="s">
        <v>213</v>
      </c>
      <c r="B151" s="217">
        <f>B131-B129</f>
        <v>-24738</v>
      </c>
      <c r="D151" t="s">
        <v>190</v>
      </c>
    </row>
    <row r="152" spans="1:6" hidden="1" x14ac:dyDescent="0.25">
      <c r="A152" s="93" t="s">
        <v>214</v>
      </c>
      <c r="B152" s="94">
        <f>B141</f>
        <v>514782</v>
      </c>
    </row>
    <row r="153" spans="1:6" hidden="1" x14ac:dyDescent="0.25">
      <c r="A153" s="269" t="s">
        <v>210</v>
      </c>
      <c r="B153" s="94">
        <f>SUM(B151:B152)</f>
        <v>490044</v>
      </c>
      <c r="C153" s="101"/>
      <c r="D153" s="101"/>
    </row>
    <row r="154" spans="1:6" hidden="1" x14ac:dyDescent="0.25">
      <c r="A154" s="92" t="s">
        <v>205</v>
      </c>
      <c r="B154" s="94">
        <f>B131</f>
        <v>504387</v>
      </c>
      <c r="C154" s="101"/>
      <c r="D154" s="101"/>
    </row>
    <row r="155" spans="1:6" hidden="1" x14ac:dyDescent="0.25">
      <c r="A155" t="s">
        <v>83</v>
      </c>
      <c r="B155" s="94">
        <f>AVERAGE(B153:B154)</f>
        <v>497215.5</v>
      </c>
      <c r="D155" s="101"/>
    </row>
    <row r="156" spans="1:6" x14ac:dyDescent="0.25">
      <c r="D156" s="101"/>
    </row>
    <row r="157" spans="1:6" x14ac:dyDescent="0.25">
      <c r="A157" s="92"/>
      <c r="D157" s="101"/>
      <c r="E157" s="94"/>
      <c r="F157" s="94"/>
    </row>
    <row r="158" spans="1:6" x14ac:dyDescent="0.25">
      <c r="A158" s="91"/>
    </row>
    <row r="159" spans="1:6" x14ac:dyDescent="0.25">
      <c r="A159" s="40"/>
    </row>
    <row r="160" spans="1:6" x14ac:dyDescent="0.25">
      <c r="A160" s="40"/>
    </row>
  </sheetData>
  <sheetProtection algorithmName="SHA-512" hashValue="9mrS586l6LZJshmW6JMSxsjkncmwgNnh+e1Ud5A/o+XwkRtigL+zXxibMrrBxR+WSVdPszOsvMBhIBrFCTF5Pw==" saltValue="p3J1kEKTbNmq22FgYL4sjQ=="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8"/>
  <sheetViews>
    <sheetView topLeftCell="A125" workbookViewId="0">
      <selection activeCell="C165" sqref="C165"/>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v>45748</v>
      </c>
      <c r="B139" s="25">
        <v>7.6429999999999996E-3</v>
      </c>
    </row>
    <row r="140" spans="1:2" x14ac:dyDescent="0.25">
      <c r="A140" s="14">
        <v>45778</v>
      </c>
      <c r="B140" s="25">
        <v>1.1212E-2</v>
      </c>
    </row>
    <row r="141" spans="1:2" x14ac:dyDescent="0.25">
      <c r="A141" s="14">
        <v>45809</v>
      </c>
      <c r="B141" s="25">
        <v>7.7359999999999998E-3</v>
      </c>
    </row>
    <row r="142" spans="1:2" x14ac:dyDescent="0.25">
      <c r="A142" s="14"/>
      <c r="B142" s="25"/>
    </row>
    <row r="143" spans="1:2" x14ac:dyDescent="0.25">
      <c r="A143" s="14"/>
      <c r="B143" s="25"/>
    </row>
    <row r="144" spans="1:2" x14ac:dyDescent="0.25">
      <c r="A144" s="14"/>
      <c r="B144" s="25"/>
    </row>
    <row r="145" spans="1:5" x14ac:dyDescent="0.25">
      <c r="A145" s="14"/>
    </row>
    <row r="146" spans="1:5" ht="60" x14ac:dyDescent="0.25">
      <c r="A146" s="27">
        <f>Pooling_Month</f>
        <v>45870</v>
      </c>
      <c r="B146" s="29" t="s">
        <v>69</v>
      </c>
    </row>
    <row r="147" spans="1:5" x14ac:dyDescent="0.25">
      <c r="A147" s="31" t="s">
        <v>60</v>
      </c>
      <c r="B147" s="32">
        <v>9.6139999999999993E-3</v>
      </c>
    </row>
    <row r="148" spans="1:5" ht="15.75" hidden="1" customHeight="1" x14ac:dyDescent="0.25"/>
    <row r="149" spans="1:5" hidden="1" x14ac:dyDescent="0.25">
      <c r="E149" t="s">
        <v>193</v>
      </c>
    </row>
    <row r="150" spans="1:5" hidden="1" x14ac:dyDescent="0.25">
      <c r="A150" s="40" t="s">
        <v>213</v>
      </c>
      <c r="B150" s="95">
        <f>B131-B129</f>
        <v>1.8779999999999995E-3</v>
      </c>
    </row>
    <row r="151" spans="1:5" hidden="1" x14ac:dyDescent="0.25">
      <c r="A151" s="93" t="s">
        <v>214</v>
      </c>
      <c r="B151" s="95">
        <f>B141</f>
        <v>7.7359999999999998E-3</v>
      </c>
    </row>
    <row r="152" spans="1:5" hidden="1" x14ac:dyDescent="0.25">
      <c r="A152" s="269" t="s">
        <v>210</v>
      </c>
      <c r="B152" s="95">
        <f>SUM(B150:B151)</f>
        <v>9.6139999999999993E-3</v>
      </c>
    </row>
    <row r="153" spans="1:5" hidden="1" x14ac:dyDescent="0.25">
      <c r="A153" s="92" t="s">
        <v>205</v>
      </c>
      <c r="B153" s="95">
        <f>B131</f>
        <v>8.9189999999999998E-3</v>
      </c>
    </row>
    <row r="154" spans="1:5" hidden="1" x14ac:dyDescent="0.25">
      <c r="A154" s="92" t="s">
        <v>206</v>
      </c>
      <c r="B154" s="95">
        <f>B119</f>
        <v>3.565E-3</v>
      </c>
    </row>
    <row r="155" spans="1:5" hidden="1" x14ac:dyDescent="0.25">
      <c r="A155" s="91" t="s">
        <v>207</v>
      </c>
      <c r="B155" s="95">
        <f>B107</f>
        <v>5.5230000000000001E-3</v>
      </c>
    </row>
    <row r="156" spans="1:5" hidden="1" x14ac:dyDescent="0.25">
      <c r="A156" s="40" t="s">
        <v>208</v>
      </c>
      <c r="B156" s="95">
        <f>AVERAGE(B152:B155)</f>
        <v>6.9052499999999999E-3</v>
      </c>
    </row>
    <row r="157" spans="1:5" hidden="1" x14ac:dyDescent="0.25">
      <c r="A157" s="40" t="s">
        <v>211</v>
      </c>
      <c r="B157" s="25">
        <f>AVERAGE(B152:B154)</f>
        <v>7.3660000000000002E-3</v>
      </c>
    </row>
    <row r="160" spans="1:5" x14ac:dyDescent="0.25">
      <c r="A160" s="40"/>
    </row>
    <row r="161" spans="1:1" x14ac:dyDescent="0.25">
      <c r="A161" s="93"/>
    </row>
    <row r="162" spans="1:1" x14ac:dyDescent="0.25">
      <c r="A162" s="91"/>
    </row>
    <row r="163" spans="1:1" x14ac:dyDescent="0.25">
      <c r="A163" s="92"/>
    </row>
    <row r="165" spans="1:1" x14ac:dyDescent="0.25">
      <c r="A165" s="92"/>
    </row>
    <row r="166" spans="1:1" x14ac:dyDescent="0.25">
      <c r="A166" s="92"/>
    </row>
    <row r="167" spans="1:1" x14ac:dyDescent="0.25">
      <c r="A167" s="91"/>
    </row>
    <row r="168" spans="1:1" x14ac:dyDescent="0.25">
      <c r="A168" s="40"/>
    </row>
  </sheetData>
  <sheetProtection algorithmName="SHA-512" hashValue="RKxhkKuANCj7KKijLWPDpkP6a300iHfb9dO5Mkjg2BdzngQ4Av33lshEQZUgxf+7Pf6pBm06riBANqSlvi2Lgw==" saltValue="vLcpbl3S7zvUv0kLaaWHxQ=="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63"/>
  <sheetViews>
    <sheetView topLeftCell="A135" workbookViewId="0">
      <selection activeCell="D144" sqref="D144"/>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201</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5">
        <f t="shared" si="4"/>
        <v>1.7983983161785466</v>
      </c>
      <c r="J113" s="223"/>
    </row>
    <row r="114" spans="1:10" x14ac:dyDescent="0.25">
      <c r="A114" s="14">
        <v>44896</v>
      </c>
      <c r="B114" s="25">
        <v>0.13656199999999999</v>
      </c>
      <c r="C114" s="25">
        <v>0.24711</v>
      </c>
      <c r="F114" s="255">
        <f t="shared" si="4"/>
        <v>1.8095077693648307</v>
      </c>
    </row>
    <row r="115" spans="1:10" x14ac:dyDescent="0.25">
      <c r="A115" s="14">
        <v>44927</v>
      </c>
      <c r="B115" s="25">
        <v>0.22236600000000001</v>
      </c>
      <c r="C115" s="25">
        <v>0.392758</v>
      </c>
      <c r="F115" s="255">
        <f t="shared" si="4"/>
        <v>1.7662682244587751</v>
      </c>
    </row>
    <row r="116" spans="1:10" x14ac:dyDescent="0.25">
      <c r="A116" s="14">
        <v>44958</v>
      </c>
      <c r="B116" s="25">
        <v>0.190855</v>
      </c>
      <c r="C116" s="25">
        <v>0.319992</v>
      </c>
      <c r="F116" s="255">
        <f t="shared" si="4"/>
        <v>1.6766236147860942</v>
      </c>
    </row>
    <row r="117" spans="1:10" x14ac:dyDescent="0.25">
      <c r="A117" s="14">
        <v>44986</v>
      </c>
      <c r="B117" s="25">
        <v>0.19927400000000001</v>
      </c>
      <c r="C117" s="25">
        <v>0.35046500000000003</v>
      </c>
      <c r="F117" s="255">
        <f t="shared" si="4"/>
        <v>1.7587091140841256</v>
      </c>
    </row>
    <row r="118" spans="1:10" x14ac:dyDescent="0.25">
      <c r="A118" s="14">
        <v>45017</v>
      </c>
      <c r="B118" s="25">
        <v>0.23678299999999999</v>
      </c>
      <c r="C118" s="25">
        <v>0.41017100000000001</v>
      </c>
      <c r="F118" s="255">
        <f t="shared" si="4"/>
        <v>1.7322654075672663</v>
      </c>
    </row>
    <row r="119" spans="1:10" x14ac:dyDescent="0.25">
      <c r="A119" s="14">
        <v>45047</v>
      </c>
      <c r="B119" s="25">
        <v>0.21531</v>
      </c>
      <c r="C119" s="25">
        <v>0.361763</v>
      </c>
      <c r="F119" s="255">
        <f t="shared" si="4"/>
        <v>1.6801959964702058</v>
      </c>
    </row>
    <row r="120" spans="1:10" x14ac:dyDescent="0.25">
      <c r="A120" s="14">
        <v>45078</v>
      </c>
      <c r="B120" s="25">
        <v>0.29416700000000001</v>
      </c>
      <c r="C120" s="25">
        <v>0.48411900000000002</v>
      </c>
      <c r="F120" s="255">
        <f t="shared" ref="F120" si="6">C120/B120</f>
        <v>1.6457284467666327</v>
      </c>
    </row>
    <row r="121" spans="1:10" x14ac:dyDescent="0.25">
      <c r="A121" s="14">
        <v>45108</v>
      </c>
      <c r="B121" s="25">
        <v>0.22546099999999999</v>
      </c>
      <c r="C121" s="25">
        <v>0.38143899999999997</v>
      </c>
      <c r="F121" s="255">
        <f t="shared" ref="F121:F144" si="7">C121/B121</f>
        <v>1.6918180971431866</v>
      </c>
    </row>
    <row r="122" spans="1:10" x14ac:dyDescent="0.25">
      <c r="A122" s="14">
        <v>45139</v>
      </c>
      <c r="B122" s="25">
        <v>0.31855699999999998</v>
      </c>
      <c r="C122" s="25">
        <v>0.56603999999999999</v>
      </c>
      <c r="F122" s="255">
        <f t="shared" si="7"/>
        <v>1.7768876527591608</v>
      </c>
    </row>
    <row r="123" spans="1:10" x14ac:dyDescent="0.25">
      <c r="A123" s="14">
        <v>45170</v>
      </c>
      <c r="B123" s="25">
        <v>0.28491499999999997</v>
      </c>
      <c r="C123" s="25">
        <v>0.47492000000000001</v>
      </c>
      <c r="F123" s="255">
        <f t="shared" si="7"/>
        <v>1.6668831054876017</v>
      </c>
    </row>
    <row r="124" spans="1:10" x14ac:dyDescent="0.25">
      <c r="A124" s="14">
        <v>45200</v>
      </c>
      <c r="B124" s="25">
        <v>0.189442</v>
      </c>
      <c r="C124" s="25">
        <v>0.330953</v>
      </c>
      <c r="F124" s="255">
        <f t="shared" si="7"/>
        <v>1.746988524192101</v>
      </c>
    </row>
    <row r="125" spans="1:10" x14ac:dyDescent="0.25">
      <c r="A125" s="14">
        <v>45231</v>
      </c>
      <c r="B125" s="25">
        <v>0.200434</v>
      </c>
      <c r="C125" s="25">
        <v>0.35803600000000002</v>
      </c>
      <c r="F125" s="255">
        <f t="shared" si="7"/>
        <v>1.7863037209255916</v>
      </c>
    </row>
    <row r="126" spans="1:10" x14ac:dyDescent="0.25">
      <c r="A126" s="14">
        <v>45261</v>
      </c>
      <c r="B126" s="25">
        <v>0.179337</v>
      </c>
      <c r="C126" s="25">
        <v>0.31408700000000001</v>
      </c>
      <c r="F126" s="255">
        <f t="shared" si="7"/>
        <v>1.7513786892833048</v>
      </c>
    </row>
    <row r="127" spans="1:10" x14ac:dyDescent="0.25">
      <c r="A127" s="14">
        <v>45292</v>
      </c>
      <c r="B127" s="25">
        <v>0.19153300000000001</v>
      </c>
      <c r="C127" s="25">
        <v>0.33412700000000001</v>
      </c>
      <c r="F127" s="255">
        <f t="shared" si="7"/>
        <v>1.7444878950363645</v>
      </c>
    </row>
    <row r="128" spans="1:10" x14ac:dyDescent="0.25">
      <c r="A128" s="14">
        <v>45323</v>
      </c>
      <c r="B128" s="25">
        <v>0.194215</v>
      </c>
      <c r="C128" s="25">
        <v>0.33216299999999999</v>
      </c>
      <c r="F128" s="255">
        <f t="shared" si="7"/>
        <v>1.7102849934351105</v>
      </c>
    </row>
    <row r="129" spans="1:6" x14ac:dyDescent="0.25">
      <c r="A129" s="14">
        <v>45352</v>
      </c>
      <c r="B129" s="25">
        <v>0.20252700000000001</v>
      </c>
      <c r="C129" s="25">
        <v>0.34077000000000002</v>
      </c>
      <c r="F129" s="255">
        <f t="shared" si="7"/>
        <v>1.6825904694188922</v>
      </c>
    </row>
    <row r="130" spans="1:6" x14ac:dyDescent="0.25">
      <c r="A130" s="14">
        <v>45383</v>
      </c>
      <c r="B130" s="25">
        <v>0.16612399999999999</v>
      </c>
      <c r="C130" s="25">
        <v>0.28236</v>
      </c>
      <c r="F130" s="255">
        <f t="shared" si="7"/>
        <v>1.6996942043292962</v>
      </c>
    </row>
    <row r="131" spans="1:6" x14ac:dyDescent="0.25">
      <c r="A131" s="14">
        <v>45413</v>
      </c>
      <c r="B131" s="25">
        <v>0.169932</v>
      </c>
      <c r="C131" s="25">
        <v>0.28758</v>
      </c>
      <c r="F131" s="255">
        <f t="shared" si="7"/>
        <v>1.692323988418897</v>
      </c>
    </row>
    <row r="132" spans="1:6" x14ac:dyDescent="0.25">
      <c r="A132" s="14">
        <v>45444</v>
      </c>
      <c r="B132" s="25">
        <v>0.18463499999999999</v>
      </c>
      <c r="C132" s="25">
        <v>0.30538700000000002</v>
      </c>
      <c r="F132" s="255">
        <f t="shared" si="7"/>
        <v>1.6540038454247572</v>
      </c>
    </row>
    <row r="133" spans="1:6" x14ac:dyDescent="0.25">
      <c r="A133" s="14">
        <v>45474</v>
      </c>
      <c r="B133" s="25">
        <v>0.180337</v>
      </c>
      <c r="C133" s="25">
        <v>0.29386800000000002</v>
      </c>
      <c r="F133" s="255">
        <f t="shared" si="7"/>
        <v>1.6295491219217355</v>
      </c>
    </row>
    <row r="134" spans="1:6" x14ac:dyDescent="0.25">
      <c r="A134" s="14">
        <v>45505</v>
      </c>
      <c r="B134" s="25">
        <v>0.17039399999999999</v>
      </c>
      <c r="C134" s="25">
        <v>0.27133800000000002</v>
      </c>
      <c r="F134" s="255">
        <f t="shared" si="7"/>
        <v>1.5924152258882358</v>
      </c>
    </row>
    <row r="135" spans="1:6" x14ac:dyDescent="0.25">
      <c r="A135" s="14">
        <v>45536</v>
      </c>
      <c r="B135" s="25">
        <v>0.15028</v>
      </c>
      <c r="C135" s="25">
        <v>0.24710799999999999</v>
      </c>
      <c r="F135" s="255">
        <f t="shared" si="7"/>
        <v>1.6443172744210806</v>
      </c>
    </row>
    <row r="136" spans="1:6" x14ac:dyDescent="0.25">
      <c r="A136" s="14">
        <v>45566</v>
      </c>
      <c r="B136" s="25">
        <v>0.15873399999999999</v>
      </c>
      <c r="C136" s="25">
        <v>0.26858500000000002</v>
      </c>
      <c r="F136" s="255">
        <f t="shared" si="7"/>
        <v>1.6920445525218293</v>
      </c>
    </row>
    <row r="137" spans="1:6" x14ac:dyDescent="0.25">
      <c r="A137" s="14">
        <v>45597</v>
      </c>
      <c r="B137" s="25">
        <v>0.13459399999999999</v>
      </c>
      <c r="C137" s="25">
        <v>0.22809399999999999</v>
      </c>
      <c r="F137" s="255">
        <f t="shared" si="7"/>
        <v>1.6946817837347876</v>
      </c>
    </row>
    <row r="138" spans="1:6" x14ac:dyDescent="0.25">
      <c r="A138" s="14">
        <v>45627</v>
      </c>
      <c r="B138" s="25">
        <v>0.156751</v>
      </c>
      <c r="C138" s="25">
        <v>0.264677</v>
      </c>
      <c r="F138" s="255">
        <f t="shared" si="7"/>
        <v>1.6885187335328005</v>
      </c>
    </row>
    <row r="139" spans="1:6" x14ac:dyDescent="0.25">
      <c r="A139" s="14">
        <v>45658</v>
      </c>
      <c r="B139" s="25">
        <v>0.16590299999999999</v>
      </c>
      <c r="C139" s="25">
        <v>0.27596700000000002</v>
      </c>
      <c r="F139" s="255">
        <f t="shared" si="7"/>
        <v>1.6634238078877417</v>
      </c>
    </row>
    <row r="140" spans="1:6" x14ac:dyDescent="0.25">
      <c r="A140" s="14">
        <v>45689</v>
      </c>
      <c r="B140" s="25">
        <v>0.13581499999999999</v>
      </c>
      <c r="C140" s="25">
        <v>0.22577900000000001</v>
      </c>
      <c r="F140" s="255">
        <f t="shared" si="7"/>
        <v>1.6624010602658028</v>
      </c>
    </row>
    <row r="141" spans="1:6" x14ac:dyDescent="0.25">
      <c r="A141" s="14">
        <v>45717</v>
      </c>
      <c r="B141" s="25">
        <v>0.13731599999999999</v>
      </c>
      <c r="C141" s="25">
        <v>0.22591700000000001</v>
      </c>
      <c r="F141" s="255">
        <f t="shared" si="7"/>
        <v>1.6452343499665008</v>
      </c>
    </row>
    <row r="142" spans="1:6" x14ac:dyDescent="0.25">
      <c r="A142" s="14">
        <v>45748</v>
      </c>
      <c r="B142" s="25">
        <v>0.164406</v>
      </c>
      <c r="C142" s="25">
        <v>0.26031599999999999</v>
      </c>
      <c r="F142" s="255">
        <f t="shared" si="7"/>
        <v>1.5833728696032991</v>
      </c>
    </row>
    <row r="143" spans="1:6" x14ac:dyDescent="0.25">
      <c r="A143" s="14">
        <v>45778</v>
      </c>
      <c r="B143" s="25">
        <v>0.22048799999999999</v>
      </c>
      <c r="C143" s="25">
        <v>0.36788999999999999</v>
      </c>
      <c r="F143" s="255">
        <f t="shared" si="7"/>
        <v>1.6685261782954175</v>
      </c>
    </row>
    <row r="144" spans="1:6" x14ac:dyDescent="0.25">
      <c r="A144" s="14">
        <v>45809</v>
      </c>
      <c r="B144" s="25">
        <v>0.19037799999999999</v>
      </c>
      <c r="C144" s="25">
        <v>0.31047000000000002</v>
      </c>
      <c r="F144" s="255">
        <f t="shared" si="7"/>
        <v>1.6308081816176241</v>
      </c>
    </row>
    <row r="145" spans="1:11" x14ac:dyDescent="0.25">
      <c r="A145" s="14"/>
      <c r="B145" s="25"/>
      <c r="C145" s="25"/>
      <c r="F145" s="255"/>
    </row>
    <row r="146" spans="1:11" x14ac:dyDescent="0.25">
      <c r="A146" s="14"/>
      <c r="B146" s="25"/>
      <c r="C146" s="25"/>
      <c r="F146" s="255"/>
    </row>
    <row r="147" spans="1:11" x14ac:dyDescent="0.25">
      <c r="A147" s="14"/>
      <c r="B147" s="25"/>
      <c r="C147" s="25"/>
      <c r="F147" s="255"/>
    </row>
    <row r="148" spans="1:11" x14ac:dyDescent="0.25">
      <c r="A148" s="14"/>
      <c r="B148" s="25"/>
      <c r="C148" s="25"/>
      <c r="F148" s="255"/>
    </row>
    <row r="149" spans="1:11" x14ac:dyDescent="0.25">
      <c r="A149" s="256"/>
    </row>
    <row r="150" spans="1:11" ht="90" x14ac:dyDescent="0.25">
      <c r="A150" s="27">
        <f>Pooling_Month</f>
        <v>45870</v>
      </c>
      <c r="B150" s="20" t="s">
        <v>133</v>
      </c>
      <c r="C150" s="20" t="s">
        <v>134</v>
      </c>
    </row>
    <row r="151" spans="1:11" x14ac:dyDescent="0.25">
      <c r="A151" s="31" t="s">
        <v>60</v>
      </c>
      <c r="B151" s="32">
        <v>0.23089299999999999</v>
      </c>
      <c r="C151" s="32">
        <v>0.37417800000000001</v>
      </c>
      <c r="E151" s="30"/>
      <c r="F151" s="96">
        <f t="shared" ref="F151" si="8">C151/B151</f>
        <v>1.6205688349148741</v>
      </c>
    </row>
    <row r="152" spans="1:11" ht="18" customHeight="1" x14ac:dyDescent="0.25"/>
    <row r="153" spans="1:11" x14ac:dyDescent="0.25">
      <c r="E153" t="s">
        <v>194</v>
      </c>
    </row>
    <row r="154" spans="1:11" x14ac:dyDescent="0.25">
      <c r="A154" s="40" t="s">
        <v>213</v>
      </c>
      <c r="B154" s="95">
        <f>B133-B131</f>
        <v>1.0404999999999998E-2</v>
      </c>
      <c r="C154" s="95">
        <f>C133-C131</f>
        <v>6.2880000000000158E-3</v>
      </c>
      <c r="F154" t="s">
        <v>189</v>
      </c>
    </row>
    <row r="155" spans="1:11" ht="15.75" thickBot="1" x14ac:dyDescent="0.3">
      <c r="A155" s="93" t="s">
        <v>214</v>
      </c>
      <c r="B155" s="95">
        <f>B143</f>
        <v>0.22048799999999999</v>
      </c>
      <c r="C155" s="95">
        <f>C143</f>
        <v>0.36788999999999999</v>
      </c>
      <c r="F155" s="255">
        <f t="shared" ref="F155" si="9">C155/B155</f>
        <v>1.6685261782954175</v>
      </c>
    </row>
    <row r="156" spans="1:11" ht="15.75" thickBot="1" x14ac:dyDescent="0.3">
      <c r="A156" s="269" t="s">
        <v>210</v>
      </c>
      <c r="B156" s="95">
        <f>SUM(B154:B155)</f>
        <v>0.23089299999999999</v>
      </c>
      <c r="C156" s="95">
        <f>SUM(C154:C155)</f>
        <v>0.37417800000000001</v>
      </c>
      <c r="E156" s="262" t="s">
        <v>199</v>
      </c>
      <c r="F156" s="263">
        <f t="shared" ref="F156:F157" si="10">C156/B156</f>
        <v>1.6205688349148741</v>
      </c>
      <c r="G156" s="264"/>
      <c r="H156" s="264"/>
      <c r="I156" s="264"/>
      <c r="J156" s="265"/>
      <c r="K156" s="266"/>
    </row>
    <row r="157" spans="1:11" x14ac:dyDescent="0.25">
      <c r="A157" s="92" t="s">
        <v>205</v>
      </c>
      <c r="B157" s="95">
        <f>B133</f>
        <v>0.180337</v>
      </c>
      <c r="C157" s="95">
        <f>C133</f>
        <v>0.29386800000000002</v>
      </c>
      <c r="F157" s="96">
        <f t="shared" si="10"/>
        <v>1.6295491219217355</v>
      </c>
    </row>
    <row r="158" spans="1:11" x14ac:dyDescent="0.25">
      <c r="A158" t="s">
        <v>83</v>
      </c>
      <c r="B158" s="95">
        <f>AVERAGE(B156:B157)</f>
        <v>0.20561499999999999</v>
      </c>
      <c r="C158" s="95">
        <f>AVERAGE(C156:C157)</f>
        <v>0.33402300000000001</v>
      </c>
      <c r="F158" s="96">
        <f>C158/B158</f>
        <v>1.6245069669041656</v>
      </c>
    </row>
    <row r="159" spans="1:11" x14ac:dyDescent="0.25">
      <c r="B159" s="95"/>
      <c r="C159" s="95"/>
      <c r="F159" s="96" t="e">
        <f t="shared" ref="F159" si="11">C159/B159</f>
        <v>#DIV/0!</v>
      </c>
    </row>
    <row r="160" spans="1:11" x14ac:dyDescent="0.25">
      <c r="A160" s="92" t="s">
        <v>206</v>
      </c>
      <c r="B160" s="95">
        <f>B121</f>
        <v>0.22546099999999999</v>
      </c>
      <c r="C160" s="95">
        <f>C121</f>
        <v>0.38143899999999997</v>
      </c>
      <c r="F160" s="97" t="e">
        <f>AVERAGE(F156:F159)</f>
        <v>#DIV/0!</v>
      </c>
    </row>
    <row r="161" spans="1:6" x14ac:dyDescent="0.25">
      <c r="A161" s="91" t="s">
        <v>207</v>
      </c>
      <c r="B161" s="25">
        <f>B109</f>
        <v>0.18571499999999999</v>
      </c>
      <c r="C161" s="25">
        <f>C109</f>
        <v>0.31830399999999998</v>
      </c>
    </row>
    <row r="162" spans="1:6" x14ac:dyDescent="0.25">
      <c r="A162" s="40" t="s">
        <v>208</v>
      </c>
      <c r="B162" s="25">
        <f>AVERAGE(B156,B157,B160,B161)</f>
        <v>0.20560149999999999</v>
      </c>
      <c r="C162" s="25">
        <f>AVERAGE(C156,C157,C160,C161)</f>
        <v>0.34194724999999998</v>
      </c>
      <c r="F162" s="96">
        <f>C162/B162</f>
        <v>1.6631554244497244</v>
      </c>
    </row>
    <row r="163" spans="1:6" x14ac:dyDescent="0.25">
      <c r="A163" s="40" t="s">
        <v>211</v>
      </c>
      <c r="B163" s="25">
        <f>AVERAGE(B156,B157,B160)</f>
        <v>0.21223033333333333</v>
      </c>
      <c r="C163" s="25">
        <f>AVERAGE(C156,C157,C160)</f>
        <v>0.34982833333333335</v>
      </c>
      <c r="F163" s="96">
        <f>C163/B163</f>
        <v>1.6483427596746303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2025-07-23T19:49:20Z</dcterms:modified>
</cp:coreProperties>
</file>