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entliv0002\Share\MILKCTRL\1. MCB Programs\PRICE ANNOUNCEMENT\MT Quota Price and Dairy Revenue Estimator\2025\"/>
    </mc:Choice>
  </mc:AlternateContent>
  <xr:revisionPtr revIDLastSave="0" documentId="13_ncr:1_{79A2B2F2-771A-4EBC-B4A3-9CF8BF3FEBD2}" xr6:coauthVersionLast="47" xr6:coauthVersionMax="47" xr10:uidLastSave="{00000000-0000-0000-0000-000000000000}"/>
  <bookViews>
    <workbookView xWindow="-120" yWindow="-120" windowWidth="29040" windowHeight="15720" firstSheet="1" activeTab="2" xr2:uid="{515C1E32-3A1A-4E87-A3CB-FF188909A201}"/>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Rec'!$B$145</definedName>
    <definedName name="EstClsIBFUtPerc">'Monthly Utilization by Class'!$B$124</definedName>
    <definedName name="EstClsIIBFUtPerc">'Monthly Utilization by Class'!$C$124</definedName>
    <definedName name="EstClsIIIBFUtPerc">'Monthly Utilization by Class'!$D$124</definedName>
    <definedName name="EstClsIIISkimUtPerc">'Monthly Utilization by Class'!$J$124</definedName>
    <definedName name="EstClsIISkimUTPerc">'Monthly Utilization by Class'!$I$124</definedName>
    <definedName name="EstClsIPckgSurpPoolBFUtPerc">'Percent Cls I Package Surplus'!$B$149</definedName>
    <definedName name="EstClsIPckgSurpPoolSkimUtPerc">'Percent Cls I Package Surplus'!$C$149</definedName>
    <definedName name="EstClsISkimUtPerc">'Monthly Utilization by Class'!$H$124</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Contiguous'!$B$122</definedName>
    <definedName name="PoolButterfatPercent">'Monthly Pool Butterfat Percent'!$B$145</definedName>
    <definedName name="PoolDailyProd">'Monthly Avg Daily Production'!$B$145</definedName>
    <definedName name="Pooling_Month">'Quota Price Estimator'!$B$4</definedName>
    <definedName name="PoolOverQuotaProdPerc">'Monthly Excess Milk Percentage'!$B$145</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5" i="7" l="1"/>
  <c r="B154" i="7"/>
  <c r="B151" i="7"/>
  <c r="B148" i="7"/>
  <c r="B149" i="7"/>
  <c r="B131" i="8"/>
  <c r="B128" i="8"/>
  <c r="B126" i="8"/>
  <c r="B125" i="8"/>
  <c r="C159" i="6"/>
  <c r="C158" i="6"/>
  <c r="C155" i="6"/>
  <c r="C154" i="6"/>
  <c r="C153" i="6"/>
  <c r="C152" i="6"/>
  <c r="B159" i="6"/>
  <c r="B158" i="6"/>
  <c r="B155" i="6"/>
  <c r="B153" i="6"/>
  <c r="B152" i="6"/>
  <c r="B153" i="5"/>
  <c r="B152" i="5"/>
  <c r="B151" i="5"/>
  <c r="B149" i="5"/>
  <c r="B148" i="5"/>
  <c r="B152" i="4"/>
  <c r="B150" i="4"/>
  <c r="B149" i="4"/>
  <c r="B155" i="3"/>
  <c r="B154" i="3"/>
  <c r="B151" i="3"/>
  <c r="B149" i="3"/>
  <c r="B148" i="3"/>
  <c r="C130" i="2"/>
  <c r="D130" i="2"/>
  <c r="E130" i="2"/>
  <c r="H130" i="2"/>
  <c r="I130" i="2"/>
  <c r="J130" i="2"/>
  <c r="K130" i="2"/>
  <c r="C128" i="2"/>
  <c r="D128" i="2"/>
  <c r="E128" i="2"/>
  <c r="H128" i="2"/>
  <c r="I128" i="2"/>
  <c r="J128" i="2"/>
  <c r="K128" i="2"/>
  <c r="C127" i="2"/>
  <c r="D127" i="2"/>
  <c r="E127" i="2"/>
  <c r="H127" i="2"/>
  <c r="I127" i="2"/>
  <c r="J127" i="2"/>
  <c r="K127" i="2"/>
  <c r="B134" i="2"/>
  <c r="B133" i="2"/>
  <c r="B130" i="2"/>
  <c r="B128" i="2"/>
  <c r="B127" i="2"/>
  <c r="F143" i="6" l="1"/>
  <c r="K118" i="2" l="1"/>
  <c r="E118" i="2"/>
  <c r="I134" i="2"/>
  <c r="J134" i="2"/>
  <c r="H134" i="2"/>
  <c r="I133" i="2"/>
  <c r="J133" i="2"/>
  <c r="H133" i="2"/>
  <c r="H129" i="2"/>
  <c r="I129" i="2"/>
  <c r="J129" i="2"/>
  <c r="C129" i="2"/>
  <c r="D129" i="2"/>
  <c r="C133" i="2"/>
  <c r="D133" i="2"/>
  <c r="C134" i="2"/>
  <c r="D134" i="2"/>
  <c r="F142" i="6"/>
  <c r="D135" i="2" l="1"/>
  <c r="D136" i="2"/>
  <c r="C131" i="2"/>
  <c r="C135" i="2"/>
  <c r="C136" i="2"/>
  <c r="H131" i="2"/>
  <c r="I136" i="2"/>
  <c r="J131" i="2"/>
  <c r="I131" i="2"/>
  <c r="I135" i="2"/>
  <c r="H135" i="2"/>
  <c r="H136" i="2"/>
  <c r="D131" i="2"/>
  <c r="K117" i="2"/>
  <c r="E117" i="2"/>
  <c r="J135" i="2" l="1"/>
  <c r="J136" i="2"/>
  <c r="F141" i="6"/>
  <c r="H116" i="2"/>
  <c r="K124" i="2" l="1"/>
  <c r="E124" i="2"/>
  <c r="K116" i="2"/>
  <c r="E116" i="2"/>
  <c r="F140" i="6" l="1"/>
  <c r="B115" i="2"/>
  <c r="E115" i="2" s="1"/>
  <c r="K115" i="2"/>
  <c r="D27" i="1"/>
  <c r="F139" i="6" l="1"/>
  <c r="K114" i="2"/>
  <c r="E114" i="2"/>
  <c r="F138" i="6"/>
  <c r="K113" i="2" l="1"/>
  <c r="B113" i="2"/>
  <c r="E113" i="2" l="1"/>
  <c r="C156" i="6"/>
  <c r="C160" i="6" l="1"/>
  <c r="F137" i="6"/>
  <c r="C161" i="6" l="1"/>
  <c r="K112" i="2"/>
  <c r="E112" i="2"/>
  <c r="F136" i="6" l="1"/>
  <c r="K111" i="2"/>
  <c r="E111" i="2"/>
  <c r="F135" i="6" l="1"/>
  <c r="H110" i="2"/>
  <c r="K110" i="2" s="1"/>
  <c r="E110" i="2"/>
  <c r="F134" i="6"/>
  <c r="K109" i="2"/>
  <c r="E109" i="2"/>
  <c r="A2" i="11"/>
  <c r="F133" i="6" l="1"/>
  <c r="K108" i="2"/>
  <c r="E108" i="2"/>
  <c r="B5" i="1"/>
  <c r="G15" i="10" s="1"/>
  <c r="F132" i="6"/>
  <c r="K107" i="2"/>
  <c r="E107" i="2"/>
  <c r="F131" i="6"/>
  <c r="H106" i="2"/>
  <c r="K106" i="2" s="1"/>
  <c r="E106" i="2"/>
  <c r="F130" i="6"/>
  <c r="K105" i="2"/>
  <c r="B105" i="2"/>
  <c r="E105" i="2"/>
  <c r="B150" i="3"/>
  <c r="B156" i="3" s="1"/>
  <c r="B150" i="5"/>
  <c r="B151" i="4"/>
  <c r="M134" i="2"/>
  <c r="O133" i="2"/>
  <c r="F129" i="6"/>
  <c r="K104" i="2"/>
  <c r="E104" i="2"/>
  <c r="A2" i="1"/>
  <c r="A2" i="10"/>
  <c r="B150" i="7"/>
  <c r="B157" i="7" s="1"/>
  <c r="F155" i="6"/>
  <c r="F128" i="6"/>
  <c r="B127" i="8"/>
  <c r="B132" i="8" s="1"/>
  <c r="B103" i="2"/>
  <c r="E103" i="2"/>
  <c r="K103" i="2"/>
  <c r="F127" i="6"/>
  <c r="K102" i="2"/>
  <c r="E102" i="2"/>
  <c r="F126" i="6"/>
  <c r="K101" i="2"/>
  <c r="E101" i="2"/>
  <c r="F125" i="6"/>
  <c r="K100" i="2"/>
  <c r="E100" i="2"/>
  <c r="B154" i="6"/>
  <c r="F124" i="6"/>
  <c r="K99" i="2"/>
  <c r="E99" i="2"/>
  <c r="F153" i="6"/>
  <c r="F123" i="6"/>
  <c r="E98" i="2"/>
  <c r="K98" i="2"/>
  <c r="F122" i="6"/>
  <c r="H87" i="2"/>
  <c r="K87" i="2"/>
  <c r="K97" i="2"/>
  <c r="E97" i="2"/>
  <c r="B60" i="11"/>
  <c r="F121" i="6"/>
  <c r="K95" i="2"/>
  <c r="K133" i="2" s="1"/>
  <c r="E95" i="2"/>
  <c r="F119" i="6"/>
  <c r="K94" i="2"/>
  <c r="E94" i="2"/>
  <c r="E133" i="2" s="1"/>
  <c r="F120" i="6"/>
  <c r="K96" i="2"/>
  <c r="E96" i="2"/>
  <c r="F118" i="6"/>
  <c r="K93" i="2"/>
  <c r="E93" i="2"/>
  <c r="B72" i="1"/>
  <c r="B73" i="1"/>
  <c r="P83" i="1"/>
  <c r="N83" i="1"/>
  <c r="N91" i="1" s="1"/>
  <c r="O91" i="1"/>
  <c r="G83" i="1" s="1"/>
  <c r="F117" i="6"/>
  <c r="K92" i="2"/>
  <c r="E92" i="2"/>
  <c r="F116" i="6"/>
  <c r="K91" i="2"/>
  <c r="B91" i="2"/>
  <c r="F115" i="6"/>
  <c r="K90" i="2"/>
  <c r="E90" i="2"/>
  <c r="F114" i="6"/>
  <c r="H89" i="2"/>
  <c r="B89" i="2"/>
  <c r="E89" i="2" s="1"/>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K134" i="2" s="1"/>
  <c r="E82" i="2"/>
  <c r="K81" i="2"/>
  <c r="E81" i="2"/>
  <c r="E134" i="2" s="1"/>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24" i="2"/>
  <c r="K66" i="2"/>
  <c r="E66" i="2"/>
  <c r="F90" i="6"/>
  <c r="K65" i="2"/>
  <c r="E65" i="2"/>
  <c r="F89" i="6"/>
  <c r="K64" i="2"/>
  <c r="E64" i="2"/>
  <c r="F88" i="6"/>
  <c r="K63" i="2"/>
  <c r="E63" i="2"/>
  <c r="F87" i="6"/>
  <c r="K62" i="2"/>
  <c r="E62" i="2"/>
  <c r="F86" i="6"/>
  <c r="K61" i="2"/>
  <c r="E61" i="2"/>
  <c r="F85" i="6"/>
  <c r="K60" i="2"/>
  <c r="E60" i="2"/>
  <c r="F84" i="6"/>
  <c r="K59" i="2"/>
  <c r="E59" i="2"/>
  <c r="F83" i="6"/>
  <c r="K58" i="2"/>
  <c r="E58" i="2"/>
  <c r="F82" i="6"/>
  <c r="K57" i="2"/>
  <c r="E57" i="2"/>
  <c r="F81" i="6"/>
  <c r="K56" i="2"/>
  <c r="E56" i="2"/>
  <c r="F80" i="6"/>
  <c r="K55" i="2"/>
  <c r="E55" i="2"/>
  <c r="F79" i="6"/>
  <c r="K54" i="2"/>
  <c r="E54" i="2"/>
  <c r="F78" i="6"/>
  <c r="F45"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Q124"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44" i="3"/>
  <c r="K3" i="2"/>
  <c r="E3" i="2"/>
  <c r="A144" i="7"/>
  <c r="A121" i="8"/>
  <c r="A148" i="6"/>
  <c r="A144" i="5"/>
  <c r="A144" i="4"/>
  <c r="G123" i="2"/>
  <c r="A123" i="2"/>
  <c r="B18" i="11"/>
  <c r="B17" i="11"/>
  <c r="B16" i="11"/>
  <c r="B12" i="11"/>
  <c r="B11" i="11"/>
  <c r="B10" i="11"/>
  <c r="B6" i="11"/>
  <c r="I18" i="1"/>
  <c r="B51" i="11" s="1"/>
  <c r="I16" i="1"/>
  <c r="B49" i="11" s="1"/>
  <c r="I17" i="1"/>
  <c r="B50" i="11" s="1"/>
  <c r="H18" i="1"/>
  <c r="B47" i="11" s="1"/>
  <c r="H17" i="1"/>
  <c r="B46" i="11" s="1"/>
  <c r="H16" i="1"/>
  <c r="B45" i="11" s="1"/>
  <c r="B7" i="1"/>
  <c r="B67" i="1" s="1"/>
  <c r="B76" i="1" s="1"/>
  <c r="B80" i="1" s="1"/>
  <c r="G14" i="10"/>
  <c r="H14" i="10" s="1"/>
  <c r="B19" i="10"/>
  <c r="B18" i="10"/>
  <c r="I42" i="1"/>
  <c r="B24" i="11"/>
  <c r="F157" i="6"/>
  <c r="O130" i="2"/>
  <c r="O128" i="2"/>
  <c r="M128" i="2"/>
  <c r="E91" i="2"/>
  <c r="O134" i="2"/>
  <c r="M130" i="2"/>
  <c r="M133" i="2"/>
  <c r="K129" i="2" l="1"/>
  <c r="B160" i="6"/>
  <c r="F160" i="6" s="1"/>
  <c r="B154" i="5"/>
  <c r="B153" i="4"/>
  <c r="B13" i="1"/>
  <c r="B13" i="11"/>
  <c r="E129" i="2"/>
  <c r="B129" i="2"/>
  <c r="B131" i="2" s="1"/>
  <c r="K89" i="2"/>
  <c r="B156" i="6"/>
  <c r="F156" i="6" s="1"/>
  <c r="B21" i="11"/>
  <c r="B152" i="7"/>
  <c r="B156" i="7"/>
  <c r="F46" i="1"/>
  <c r="F47" i="1" s="1"/>
  <c r="B129" i="8"/>
  <c r="F154" i="6"/>
  <c r="B161" i="6"/>
  <c r="B155" i="5"/>
  <c r="B19" i="11"/>
  <c r="I19" i="1"/>
  <c r="M129" i="2"/>
  <c r="O129" i="2"/>
  <c r="B157" i="3"/>
  <c r="B152" i="3"/>
  <c r="B41" i="11"/>
  <c r="B77" i="1"/>
  <c r="B82" i="1" s="1"/>
  <c r="B83" i="1" s="1"/>
  <c r="H19" i="1"/>
  <c r="G34" i="10"/>
  <c r="G37" i="10"/>
  <c r="G36" i="10"/>
  <c r="G38" i="10"/>
  <c r="G35" i="10"/>
  <c r="G39" i="10"/>
  <c r="G28" i="10"/>
  <c r="H15" i="10"/>
  <c r="I15" i="10" s="1"/>
  <c r="G13" i="10"/>
  <c r="I14" i="10"/>
  <c r="F89" i="1"/>
  <c r="F83" i="1"/>
  <c r="P91" i="1"/>
  <c r="H89" i="1" s="1"/>
  <c r="G89" i="1"/>
  <c r="G91" i="1" s="1"/>
  <c r="K136" i="2" l="1"/>
  <c r="K131" i="2"/>
  <c r="K135" i="2"/>
  <c r="H42" i="1"/>
  <c r="F149" i="6"/>
  <c r="B23" i="11"/>
  <c r="B7" i="11"/>
  <c r="B8" i="1"/>
  <c r="B5" i="11"/>
  <c r="B6" i="1"/>
  <c r="B136" i="2"/>
  <c r="B135" i="2"/>
  <c r="E131" i="2"/>
  <c r="E135" i="2"/>
  <c r="E136" i="2"/>
  <c r="I13" i="10"/>
  <c r="H13" i="10"/>
  <c r="F158" i="6"/>
  <c r="F161" i="6"/>
  <c r="B85" i="1"/>
  <c r="B88" i="1"/>
  <c r="B12" i="1"/>
  <c r="B39" i="11"/>
  <c r="C13" i="1"/>
  <c r="H83" i="1"/>
  <c r="H91" i="1" s="1"/>
  <c r="F91" i="1"/>
  <c r="K83" i="1"/>
  <c r="J83" i="1"/>
  <c r="I34" i="1" l="1"/>
  <c r="D34" i="1"/>
  <c r="C34" i="1"/>
  <c r="H34" i="1"/>
  <c r="B43" i="11"/>
  <c r="L83" i="1"/>
  <c r="B89" i="1"/>
  <c r="K89" i="1" s="1"/>
  <c r="K91" i="1" s="1"/>
  <c r="F59" i="1" s="1"/>
  <c r="B57" i="11" s="1"/>
  <c r="C12" i="1"/>
  <c r="D12" i="1" s="1"/>
  <c r="C16" i="1"/>
  <c r="C56" i="1"/>
  <c r="C17" i="1"/>
  <c r="C18" i="1"/>
  <c r="C42" i="1"/>
  <c r="B11" i="1"/>
  <c r="D13" i="1"/>
  <c r="L89" i="1" l="1"/>
  <c r="L91" i="1" s="1"/>
  <c r="G59" i="1" s="1"/>
  <c r="J89" i="1"/>
  <c r="J91" i="1" s="1"/>
  <c r="H59" i="1" s="1"/>
  <c r="B30" i="11"/>
  <c r="C23" i="1"/>
  <c r="C24" i="1"/>
  <c r="C22" i="1"/>
  <c r="C19" i="1"/>
  <c r="C11" i="1"/>
  <c r="D42" i="1"/>
  <c r="B42" i="1" s="1"/>
  <c r="D11" i="1"/>
  <c r="D16" i="1"/>
  <c r="B16" i="1" s="1"/>
  <c r="D18" i="1"/>
  <c r="D24" i="1" s="1"/>
  <c r="D17" i="1"/>
  <c r="D23" i="1" s="1"/>
  <c r="D56" i="1"/>
  <c r="B56" i="1" s="1"/>
  <c r="B56" i="11" s="1"/>
  <c r="B53" i="11" l="1"/>
  <c r="B45" i="1"/>
  <c r="B50" i="1" s="1"/>
  <c r="B18" i="1"/>
  <c r="B24" i="1"/>
  <c r="D19" i="1"/>
  <c r="D22" i="1"/>
  <c r="D25" i="1" s="1"/>
  <c r="C25" i="1"/>
  <c r="C30" i="1" s="1"/>
  <c r="B59" i="1"/>
  <c r="B23" i="1"/>
  <c r="B17" i="1"/>
  <c r="B19" i="1" l="1"/>
  <c r="B22" i="1"/>
  <c r="B25" i="1" s="1"/>
  <c r="D29" i="1"/>
  <c r="B58" i="11"/>
  <c r="H33" i="1"/>
  <c r="H35" i="1" s="1"/>
  <c r="C33" i="1"/>
  <c r="C35" i="1" s="1"/>
  <c r="B46" i="1"/>
  <c r="B51" i="1" s="1"/>
  <c r="B52" i="1" s="1"/>
  <c r="D28" i="1" l="1"/>
  <c r="D30" i="1" s="1"/>
  <c r="B54" i="11"/>
  <c r="H18" i="10"/>
  <c r="C9" i="10"/>
  <c r="B36" i="11" s="1"/>
  <c r="H19" i="10"/>
  <c r="C10" i="10"/>
  <c r="D33" i="1" l="1"/>
  <c r="D35" i="1" s="1"/>
  <c r="I33" i="1"/>
  <c r="I35" i="1" s="1"/>
  <c r="B30" i="1"/>
  <c r="B62" i="11" s="1"/>
  <c r="H20" i="10"/>
  <c r="B20" i="10"/>
  <c r="I19" i="10" l="1"/>
  <c r="G19" i="10" s="1"/>
  <c r="D10" i="10"/>
  <c r="B10" i="10"/>
  <c r="G10" i="10"/>
  <c r="I18" i="10"/>
  <c r="B9" i="10"/>
  <c r="B35" i="11" s="1"/>
  <c r="D9" i="10"/>
  <c r="B37" i="11" s="1"/>
  <c r="G9" i="10"/>
  <c r="G45" i="10"/>
  <c r="G18" i="10" l="1"/>
  <c r="G20" i="10" s="1"/>
  <c r="G27" i="10" s="1"/>
  <c r="G40" i="10" s="1"/>
  <c r="G42" i="10" s="1"/>
  <c r="I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 ref="H110" authorId="0" shapeId="0" xr:uid="{8077E8F9-C924-46E7-BEC7-F82F649ACFAC}">
      <text>
        <r>
          <rPr>
            <b/>
            <sz val="9"/>
            <color indexed="81"/>
            <rFont val="Tahoma"/>
            <family val="2"/>
          </rPr>
          <t>Satre, Michele:</t>
        </r>
        <r>
          <rPr>
            <sz val="9"/>
            <color indexed="81"/>
            <rFont val="Tahoma"/>
            <family val="2"/>
          </rPr>
          <t xml:space="preserve">
Added .01% to get total to equal 100%</t>
        </r>
      </text>
    </comment>
    <comment ref="B113" authorId="0" shapeId="0" xr:uid="{3D0A1DBE-5765-4C6A-BD21-454B509DB861}">
      <text>
        <r>
          <rPr>
            <b/>
            <sz val="9"/>
            <color indexed="81"/>
            <rFont val="Tahoma"/>
            <family val="2"/>
          </rPr>
          <t>Satre, Michele:</t>
        </r>
        <r>
          <rPr>
            <sz val="9"/>
            <color indexed="81"/>
            <rFont val="Tahoma"/>
            <family val="2"/>
          </rPr>
          <t xml:space="preserve">
Add .01% to get the amounts to total 100%</t>
        </r>
      </text>
    </comment>
    <comment ref="B115" authorId="0" shapeId="0" xr:uid="{8F5C1408-E3E0-4EDA-AC45-9A5DC35A7D0B}">
      <text>
        <r>
          <rPr>
            <b/>
            <sz val="9"/>
            <color indexed="81"/>
            <rFont val="Tahoma"/>
            <family val="2"/>
          </rPr>
          <t>Satre, Michele:</t>
        </r>
        <r>
          <rPr>
            <sz val="9"/>
            <color indexed="81"/>
            <rFont val="Tahoma"/>
            <family val="2"/>
          </rPr>
          <t xml:space="preserve">
Add .01% to get the amounts to total 100%</t>
        </r>
      </text>
    </comment>
    <comment ref="H116" authorId="0" shapeId="0" xr:uid="{7CA9C0DC-E879-46B2-9C15-574C01FE5D2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<sst xmlns="http://schemas.openxmlformats.org/spreadsheetml/2006/main" count="348" uniqueCount="216">
  <si>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</si>
  <si>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</si>
  <si>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</si>
  <si>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</si>
  <si>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</si>
  <si>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</si>
  <si>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</si>
  <si>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</si>
  <si>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</si>
  <si>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</si>
  <si>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</si>
  <si>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</si>
  <si>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</si>
  <si>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</si>
  <si>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</si>
  <si>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</si>
  <si>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</si>
  <si>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</si>
  <si>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</si>
  <si>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</si>
  <si>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</si>
  <si>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</si>
  <si>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</si>
  <si>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</si>
  <si>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</si>
  <si>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</si>
  <si>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</si>
  <si>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</si>
  <si>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</si>
  <si>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</si>
  <si>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</si>
  <si>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</si>
  <si>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</si>
  <si>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</si>
  <si>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</si>
  <si>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</si>
  <si>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</si>
  <si>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</si>
  <si>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</si>
  <si>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</si>
  <si>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</si>
  <si>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</si>
  <si>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</si>
  <si>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</si>
  <si>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</si>
  <si>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</si>
  <si>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</si>
  <si>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</si>
  <si>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</si>
  <si>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</si>
  <si>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</si>
  <si>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</si>
  <si>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</si>
  <si>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</si>
  <si>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</si>
  <si>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</si>
  <si>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</si>
  <si>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</si>
  <si>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</si>
  <si>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</si>
  <si>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</si>
  <si>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</si>
  <si>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</si>
  <si>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</si>
  <si>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</si>
  <si>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</si>
  <si>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</si>
  <si>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</si>
  <si>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</si>
  <si>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</si>
  <si>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</si>
  <si>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</si>
  <si>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</si>
  <si>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</si>
  <si>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</si>
  <si>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</si>
  <si>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</si>
  <si>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</si>
  <si>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</si>
  <si>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</si>
  <si>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</si>
  <si>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</si>
  <si>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</si>
  <si>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</si>
  <si>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</si>
  <si>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</si>
  <si>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</si>
  <si>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</si>
  <si>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</si>
  <si>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</si>
  <si>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</si>
  <si>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</si>
  <si>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</si>
  <si>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</si>
  <si>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</si>
  <si>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</si>
  <si>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</si>
  <si>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</si>
  <si>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</si>
  <si>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</si>
  <si>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</si>
  <si>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</si>
  <si>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</si>
  <si>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</si>
  <si>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</si>
  <si>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</si>
  <si>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</si>
  <si>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</si>
  <si>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</si>
  <si>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</si>
  <si>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</si>
  <si>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</si>
  <si>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</si>
  <si>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</si>
  <si>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</si>
  <si>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</si>
  <si>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</si>
  <si>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</si>
  <si>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</si>
  <si>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</si>
  <si>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</si>
  <si>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</si>
  <si>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</si>
  <si>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</si>
  <si>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</si>
  <si>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</si>
  <si>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</si>
  <si>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</si>
  <si>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</si>
  <si>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</si>
  <si>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</si>
  <si>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</si>
  <si>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</si>
  <si>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</si>
  <si>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</si>
  <si>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</si>
  <si>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</si>
  <si>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</si>
  <si>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</si>
  <si>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</si>
  <si>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</si>
  <si>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</si>
  <si>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</si>
  <si>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</si>
  <si>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</si>
  <si>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</si>
  <si>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</si>
  <si>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</si>
  <si>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</si>
  <si>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</si>
  <si>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</si>
  <si>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</si>
  <si>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</si>
  <si>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</si>
  <si>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</si>
  <si>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</si>
  <si>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</si>
  <si>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</si>
  <si>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</si>
  <si>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</si>
  <si>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</si>
  <si>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</si>
  <si>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</si>
  <si>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</si>
  <si>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</si>
  <si>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</si>
  <si>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</si>
  <si>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</si>
  <si>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</si>
  <si>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</si>
  <si>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</si>
  <si>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</si>
  <si>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</si>
  <si>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</si>
  <si>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</si>
  <si>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</si>
  <si>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</si>
  <si>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</si>
  <si>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</si>
  <si>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</si>
  <si>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</si>
  <si>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</si>
  <si>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</si>
  <si>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</si>
  <si>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</si>
  <si>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</si>
  <si>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</si>
  <si>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</si>
  <si>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</si>
  <si>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</si>
  <si>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</si>
  <si>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</si>
  <si>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</si>
  <si>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</si>
  <si>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</si>
  <si>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</si>
  <si>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</si>
  <si>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Data is from Pooling Summary Report - Utilization of Production</t>
  </si>
  <si>
    <t>Federal Price</t>
  </si>
  <si>
    <t xml:space="preserve">Instead of the averages in cells </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</si>
  <si>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 - If the amounts don't appear after choosing Yes, open the tab to the right then open this tab again.)</t>
    </r>
  </si>
  <si>
    <t>Note:  Novober 2015 - March 2017 are recalculated figures that reflect percentages that would have existed if rules in effect on Aug. 1, 2017  were in effect in the past</t>
  </si>
  <si>
    <t>Note:  March2015 - July 2017 are recalculated figures that reflect percentages that would have existed if rules in effect on Aug. 1, 2017  were in effect in the past</t>
  </si>
  <si>
    <t>Est July2025</t>
  </si>
  <si>
    <t>July 2024</t>
  </si>
  <si>
    <t>July 2023</t>
  </si>
  <si>
    <t>July 2022</t>
  </si>
  <si>
    <t>Ave:  July 25 Est, 24, 23, 22</t>
  </si>
  <si>
    <t xml:space="preserve">Ave:  July 25 Est, 24, 23, </t>
  </si>
  <si>
    <t>Est July 2025</t>
  </si>
  <si>
    <t>Ave:  July 25 Est, 24, 23</t>
  </si>
  <si>
    <t>Will use 0.0% for Est July 2025.  July2024 was the only time there has been bulk surplus since February2023. This Feb load was sent out-of state because of a refrigeration issue. 3/19/24 ms</t>
  </si>
  <si>
    <t>Note:  May 2015 - May 2017 are recalculated figures that reflect percentages that would have existed if rules in effect on Aug. 1, 2017  were in effect in the past</t>
  </si>
  <si>
    <t>July 2024 - May 2024 Delta</t>
  </si>
  <si>
    <t>May 2025</t>
  </si>
  <si>
    <t>The plants are reporting a shortage of bulk milk since summer. 6/12/2025 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</si>
</sst>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7">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0" fillId="0" borderId="15" xfId="0" applyBorder="1"/>
    <xf numFmtId="177" fontId="0" fillId="0" borderId="16" xfId="126" applyNumberFormat="1" applyFont="1" applyBorder="1"/>
    <xf numFmtId="0" fontId="0" fillId="0" borderId="16" xfId="0" applyBorder="1"/>
    <xf numFmtId="164" fontId="0" fillId="0" borderId="16" xfId="0" applyNumberFormat="1" applyBorder="1"/>
    <xf numFmtId="164" fontId="0" fillId="0" borderId="17" xfId="0" applyNumberFormat="1" applyBorder="1"/>
    <xf numFmtId="3" fontId="0" fillId="0" borderId="0" xfId="0" applyNumberFormat="1"/>
    <xf numFmtId="179" fontId="1" fillId="2" borderId="0" xfId="0" applyNumberFormat="1" applyFont="1" applyFill="1"/>
    <xf numFmtId="0" fontId="0" fillId="2" borderId="0" xfId="0" quotePrefix="1" applyFill="1"/>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66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32"/>
  <sheetViews>
    <sheetView topLeftCell="A120" workbookViewId="0">
      <selection activeCell="A124" sqref="A124:XFD132"/>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135</v>
      </c>
      <c r="E1" s="4"/>
    </row>
    <row r="2" spans="1:5" hidden="1" x14ac:dyDescent="0.25">
      <c r="A2" s="15">
        <v>42278</v>
      </c>
      <c r="B2" s="25">
        <v>0.30533199999999999</v>
      </c>
      <c r="D2" s="216" t="s">
        <v>202</v>
      </c>
      <c r="E2" s="25"/>
    </row>
    <row r="3" spans="1:5" hidden="1" x14ac:dyDescent="0.25">
      <c r="A3" s="15">
        <v>42309</v>
      </c>
      <c r="B3" s="25">
        <v>0.291993</v>
      </c>
      <c r="D3" s="25"/>
      <c r="E3" s="25"/>
    </row>
    <row r="4" spans="1:5" hidden="1" x14ac:dyDescent="0.25">
      <c r="A4" s="15">
        <v>42339</v>
      </c>
      <c r="B4" s="25">
        <v>0.245638</v>
      </c>
      <c r="D4" s="25"/>
    </row>
    <row r="5" spans="1:5" hidden="1" x14ac:dyDescent="0.25">
      <c r="A5" s="15">
        <v>42370</v>
      </c>
      <c r="B5" s="25">
        <v>0.28391100000000002</v>
      </c>
      <c r="D5" s="25"/>
    </row>
    <row r="6" spans="1:5" hidden="1" x14ac:dyDescent="0.25">
      <c r="A6" s="15">
        <v>42401</v>
      </c>
      <c r="B6" s="25">
        <v>0.261324</v>
      </c>
      <c r="D6" s="25"/>
    </row>
    <row r="7" spans="1:5" hidden="1" x14ac:dyDescent="0.25">
      <c r="A7" s="15">
        <v>42430</v>
      </c>
      <c r="B7" s="25">
        <v>0.27588800000000002</v>
      </c>
      <c r="D7" s="25"/>
    </row>
    <row r="8" spans="1:5" hidden="1" x14ac:dyDescent="0.25">
      <c r="A8" s="15">
        <v>42461</v>
      </c>
      <c r="B8" s="25">
        <v>0.26678499999999999</v>
      </c>
      <c r="D8" s="25"/>
    </row>
    <row r="9" spans="1:5" hidden="1" x14ac:dyDescent="0.25">
      <c r="A9" s="15">
        <v>42491</v>
      </c>
      <c r="B9" s="25">
        <v>0.25852199999999997</v>
      </c>
      <c r="D9" s="25"/>
    </row>
    <row r="10" spans="1:5" hidden="1" x14ac:dyDescent="0.25">
      <c r="A10" s="15">
        <v>42522</v>
      </c>
      <c r="B10" s="25">
        <v>0.20880000000000001</v>
      </c>
      <c r="D10" s="25"/>
    </row>
    <row r="11" spans="1:5" hidden="1" x14ac:dyDescent="0.25">
      <c r="A11" s="15">
        <v>42552</v>
      </c>
      <c r="B11" s="25">
        <v>0.20453099999999999</v>
      </c>
      <c r="D11" s="25"/>
    </row>
    <row r="12" spans="1:5" hidden="1" x14ac:dyDescent="0.25">
      <c r="A12" s="15">
        <v>42583</v>
      </c>
      <c r="B12" s="25">
        <v>0.21943199999999999</v>
      </c>
      <c r="D12" s="25"/>
    </row>
    <row r="13" spans="1:5" hidden="1" x14ac:dyDescent="0.25">
      <c r="A13" s="15">
        <v>42614</v>
      </c>
      <c r="B13" s="25">
        <v>0.229134</v>
      </c>
      <c r="D13" s="25"/>
    </row>
    <row r="14" spans="1:5" hidden="1" x14ac:dyDescent="0.25">
      <c r="A14" s="15">
        <v>42644</v>
      </c>
      <c r="B14" s="25">
        <v>0.182896</v>
      </c>
      <c r="D14" s="25"/>
    </row>
    <row r="15" spans="1:5" hidden="1" x14ac:dyDescent="0.25">
      <c r="A15" s="15">
        <v>42675</v>
      </c>
      <c r="B15" s="25">
        <v>0.16356200000000001</v>
      </c>
      <c r="D15" s="25"/>
    </row>
    <row r="16" spans="1:5" hidden="1" x14ac:dyDescent="0.25">
      <c r="A16" s="15">
        <v>42705</v>
      </c>
      <c r="B16" s="25">
        <v>0.21603600000000001</v>
      </c>
      <c r="D16" s="25"/>
    </row>
    <row r="17" spans="1:4" hidden="1" x14ac:dyDescent="0.25">
      <c r="A17" s="15">
        <v>42736</v>
      </c>
      <c r="B17" s="25">
        <v>0.191916</v>
      </c>
      <c r="D17" s="25"/>
    </row>
    <row r="18" spans="1:4" hidden="1" x14ac:dyDescent="0.25">
      <c r="A18" s="15">
        <v>42767</v>
      </c>
      <c r="B18" s="25">
        <v>0.22883700000000001</v>
      </c>
      <c r="D18" s="25"/>
    </row>
    <row r="19" spans="1:4" hidden="1" x14ac:dyDescent="0.25">
      <c r="A19" s="15">
        <v>42795</v>
      </c>
      <c r="B19" s="25">
        <v>0.221411</v>
      </c>
      <c r="D19" s="25"/>
    </row>
    <row r="20" spans="1:4" hidden="1" x14ac:dyDescent="0.25">
      <c r="A20" s="15">
        <v>42826</v>
      </c>
      <c r="B20" s="25">
        <v>0.21291299999999999</v>
      </c>
      <c r="D20" s="25"/>
    </row>
    <row r="21" spans="1:4" hidden="1" x14ac:dyDescent="0.25">
      <c r="A21" s="15">
        <v>42856</v>
      </c>
      <c r="B21" s="25">
        <v>0.211672</v>
      </c>
      <c r="D21" s="25"/>
    </row>
    <row r="22" spans="1:4" hidden="1" x14ac:dyDescent="0.25">
      <c r="A22" s="15">
        <v>42887</v>
      </c>
      <c r="B22" s="25">
        <v>0.19661999999999999</v>
      </c>
      <c r="D22" s="25"/>
    </row>
    <row r="23" spans="1:4" hidden="1" x14ac:dyDescent="0.25">
      <c r="A23" s="15">
        <v>42917</v>
      </c>
      <c r="B23" s="25">
        <v>0.191581</v>
      </c>
      <c r="D23" s="25"/>
    </row>
    <row r="24" spans="1:4" hidden="1" x14ac:dyDescent="0.25">
      <c r="A24" s="15">
        <v>42948</v>
      </c>
      <c r="B24" s="25">
        <v>0.210429</v>
      </c>
      <c r="D24" s="25"/>
    </row>
    <row r="25" spans="1:4" hidden="1" x14ac:dyDescent="0.25">
      <c r="A25" s="15">
        <v>42979</v>
      </c>
      <c r="B25" s="25">
        <v>0.236261</v>
      </c>
      <c r="D25" s="25"/>
    </row>
    <row r="26" spans="1:4" hidden="1" x14ac:dyDescent="0.25">
      <c r="A26" s="15">
        <v>43009</v>
      </c>
      <c r="B26" s="25">
        <v>0.17718300000000001</v>
      </c>
      <c r="D26" s="25"/>
    </row>
    <row r="27" spans="1:4" hidden="1" x14ac:dyDescent="0.25">
      <c r="A27" s="15">
        <v>43040</v>
      </c>
      <c r="B27" s="25">
        <v>0.21789600000000001</v>
      </c>
      <c r="D27" s="25"/>
    </row>
    <row r="28" spans="1:4" hidden="1" x14ac:dyDescent="0.25">
      <c r="A28" s="15">
        <v>43070</v>
      </c>
      <c r="B28" s="25">
        <v>0.24127499999999999</v>
      </c>
      <c r="D28" s="25"/>
    </row>
    <row r="29" spans="1:4" hidden="1" x14ac:dyDescent="0.25">
      <c r="A29" s="15">
        <v>43101</v>
      </c>
      <c r="B29" s="25">
        <v>0.2137</v>
      </c>
      <c r="D29" s="25"/>
    </row>
    <row r="30" spans="1:4" hidden="1" x14ac:dyDescent="0.25">
      <c r="A30" s="15">
        <v>43132</v>
      </c>
      <c r="B30" s="25">
        <v>0.21845999999999999</v>
      </c>
      <c r="D30" s="25"/>
    </row>
    <row r="31" spans="1:4" hidden="1" x14ac:dyDescent="0.25">
      <c r="A31" s="15">
        <v>43160</v>
      </c>
      <c r="B31" s="25">
        <v>0.20913200000000001</v>
      </c>
      <c r="D31" s="25"/>
    </row>
    <row r="32" spans="1:4" hidden="1" x14ac:dyDescent="0.25">
      <c r="A32" s="15">
        <v>43191</v>
      </c>
      <c r="B32" s="25">
        <v>0.18951999999999999</v>
      </c>
      <c r="D32" s="25"/>
    </row>
    <row r="33" spans="1:6" hidden="1" x14ac:dyDescent="0.25">
      <c r="A33" s="15">
        <v>43221</v>
      </c>
      <c r="B33" s="25">
        <v>0.185444</v>
      </c>
      <c r="D33" s="25"/>
    </row>
    <row r="34" spans="1:6" hidden="1" x14ac:dyDescent="0.25">
      <c r="A34" s="15">
        <v>43252</v>
      </c>
      <c r="B34" s="25">
        <v>0.180114</v>
      </c>
      <c r="D34" s="25"/>
    </row>
    <row r="35" spans="1:6" hidden="1" x14ac:dyDescent="0.25">
      <c r="A35" s="15">
        <v>43282</v>
      </c>
      <c r="B35" s="25">
        <v>0.17179700000000001</v>
      </c>
      <c r="D35" s="25"/>
    </row>
    <row r="36" spans="1:6" hidden="1" x14ac:dyDescent="0.25">
      <c r="A36" s="15">
        <v>43313</v>
      </c>
      <c r="B36" s="25">
        <v>0.20078299999999999</v>
      </c>
      <c r="D36" s="25"/>
      <c r="E36" s="95"/>
      <c r="F36" s="25"/>
    </row>
    <row r="37" spans="1:6" hidden="1" x14ac:dyDescent="0.25">
      <c r="A37" s="15">
        <v>43344</v>
      </c>
      <c r="B37" s="25">
        <v>0.19520000000000001</v>
      </c>
      <c r="D37" s="25"/>
      <c r="E37" s="95"/>
      <c r="F37" s="25"/>
    </row>
    <row r="38" spans="1:6" hidden="1" x14ac:dyDescent="0.25">
      <c r="A38" s="15">
        <v>43374</v>
      </c>
      <c r="B38" s="25">
        <v>0.118899</v>
      </c>
      <c r="D38" s="25"/>
      <c r="E38" s="95"/>
      <c r="F38" s="25"/>
    </row>
    <row r="39" spans="1:6" hidden="1" x14ac:dyDescent="0.25">
      <c r="A39" s="15">
        <v>43405</v>
      </c>
      <c r="B39" s="25">
        <v>0.16769200000000001</v>
      </c>
      <c r="D39" s="25"/>
      <c r="E39" s="95"/>
      <c r="F39" s="25"/>
    </row>
    <row r="40" spans="1:6" hidden="1" x14ac:dyDescent="0.25">
      <c r="A40" s="15">
        <v>43435</v>
      </c>
      <c r="B40" s="25">
        <v>0.12795599999999999</v>
      </c>
      <c r="D40" s="25"/>
      <c r="E40" s="95"/>
      <c r="F40" s="25"/>
    </row>
    <row r="41" spans="1:6" hidden="1" x14ac:dyDescent="0.25">
      <c r="A41" s="15">
        <v>43466</v>
      </c>
      <c r="B41" s="25">
        <v>0.17980299999999999</v>
      </c>
      <c r="D41" s="25"/>
      <c r="E41" s="95"/>
      <c r="F41" s="25"/>
    </row>
    <row r="42" spans="1:6" hidden="1" x14ac:dyDescent="0.25">
      <c r="A42" s="15">
        <v>43497</v>
      </c>
      <c r="B42" s="25">
        <v>0.19983300000000001</v>
      </c>
      <c r="D42" s="25"/>
      <c r="E42" s="95"/>
      <c r="F42" s="25"/>
    </row>
    <row r="43" spans="1:6" hidden="1" x14ac:dyDescent="0.25">
      <c r="A43" s="15">
        <v>43525</v>
      </c>
      <c r="B43" s="25">
        <v>0.19770399999999999</v>
      </c>
      <c r="D43" s="25"/>
      <c r="E43" s="95"/>
      <c r="F43" s="25"/>
    </row>
    <row r="44" spans="1:6" hidden="1" x14ac:dyDescent="0.25">
      <c r="A44" s="15">
        <v>43556</v>
      </c>
      <c r="B44" s="25">
        <v>0.192409</v>
      </c>
      <c r="D44" s="25"/>
      <c r="E44" s="95"/>
      <c r="F44" s="25"/>
    </row>
    <row r="45" spans="1:6" hidden="1" x14ac:dyDescent="0.25">
      <c r="A45" s="15">
        <v>43586</v>
      </c>
      <c r="B45" s="25">
        <v>0.17879999999999999</v>
      </c>
      <c r="D45" s="25"/>
      <c r="E45" s="95"/>
      <c r="F45" s="25"/>
    </row>
    <row r="46" spans="1:6" hidden="1" x14ac:dyDescent="0.25">
      <c r="A46" s="15">
        <v>43617</v>
      </c>
      <c r="B46" s="25">
        <v>0.13753799999999999</v>
      </c>
      <c r="D46" s="25"/>
      <c r="E46" s="95"/>
      <c r="F46" s="25"/>
    </row>
    <row r="47" spans="1:6" hidden="1" x14ac:dyDescent="0.25">
      <c r="A47" s="15">
        <v>43647</v>
      </c>
      <c r="B47" s="25">
        <v>0.15816</v>
      </c>
      <c r="D47" s="25"/>
      <c r="E47" s="95"/>
      <c r="F47" s="25"/>
    </row>
    <row r="48" spans="1:6" hidden="1" x14ac:dyDescent="0.25">
      <c r="A48" s="15">
        <v>43678</v>
      </c>
      <c r="B48" s="25">
        <v>0.158776</v>
      </c>
      <c r="D48" s="25"/>
      <c r="E48" s="95"/>
      <c r="F48" s="25"/>
    </row>
    <row r="49" spans="1:6" hidden="1" x14ac:dyDescent="0.25">
      <c r="A49" s="15">
        <v>43709</v>
      </c>
      <c r="B49" s="25">
        <v>0.170652</v>
      </c>
      <c r="D49" s="25"/>
      <c r="E49" s="95"/>
      <c r="F49" s="25"/>
    </row>
    <row r="50" spans="1:6" hidden="1" x14ac:dyDescent="0.25">
      <c r="A50" s="15">
        <v>43739</v>
      </c>
      <c r="B50" s="25">
        <v>0.183697</v>
      </c>
      <c r="D50" s="25"/>
      <c r="E50" s="95"/>
      <c r="F50" s="25"/>
    </row>
    <row r="51" spans="1:6" hidden="1" x14ac:dyDescent="0.25">
      <c r="A51" s="15">
        <v>43770</v>
      </c>
      <c r="B51" s="25">
        <v>0.13302600000000001</v>
      </c>
      <c r="D51" s="25"/>
      <c r="E51" s="95"/>
      <c r="F51" s="25"/>
    </row>
    <row r="52" spans="1:6" hidden="1" x14ac:dyDescent="0.25">
      <c r="A52" s="15">
        <v>43800</v>
      </c>
      <c r="B52" s="25">
        <v>0.17793600000000001</v>
      </c>
      <c r="D52" s="25"/>
      <c r="E52" s="95"/>
      <c r="F52" s="25"/>
    </row>
    <row r="53" spans="1:6" hidden="1" x14ac:dyDescent="0.25">
      <c r="A53" s="15">
        <v>43831</v>
      </c>
      <c r="B53" s="25">
        <v>0.179538</v>
      </c>
      <c r="D53" s="25"/>
      <c r="E53" s="95"/>
      <c r="F53" s="25"/>
    </row>
    <row r="54" spans="1:6" hidden="1" x14ac:dyDescent="0.25">
      <c r="A54" s="15">
        <v>43862</v>
      </c>
      <c r="B54" s="25">
        <v>0.18820300000000001</v>
      </c>
      <c r="D54" s="25"/>
      <c r="E54" s="95"/>
      <c r="F54" s="25"/>
    </row>
    <row r="55" spans="1:6" hidden="1" x14ac:dyDescent="0.25">
      <c r="A55" s="15">
        <v>43891</v>
      </c>
      <c r="B55" s="25">
        <v>0.137018</v>
      </c>
      <c r="D55" s="25"/>
      <c r="E55" s="95"/>
      <c r="F55" s="25"/>
    </row>
    <row r="56" spans="1:6" hidden="1" x14ac:dyDescent="0.25">
      <c r="A56" s="15">
        <v>43922</v>
      </c>
      <c r="B56" s="25">
        <v>0.18280199999999999</v>
      </c>
      <c r="D56" s="25"/>
      <c r="E56" s="95"/>
      <c r="F56" s="25"/>
    </row>
    <row r="57" spans="1:6" hidden="1" x14ac:dyDescent="0.25">
      <c r="A57" s="15">
        <v>43952</v>
      </c>
      <c r="B57" s="25">
        <v>0.16561400000000001</v>
      </c>
      <c r="D57" s="25"/>
      <c r="E57" s="95"/>
      <c r="F57" s="25"/>
    </row>
    <row r="58" spans="1:6" hidden="1" x14ac:dyDescent="0.25">
      <c r="A58" s="15">
        <v>43983</v>
      </c>
      <c r="B58" s="25">
        <v>0.14563899999999999</v>
      </c>
      <c r="D58" s="25"/>
      <c r="E58" s="95"/>
      <c r="F58" s="25"/>
    </row>
    <row r="59" spans="1:6" hidden="1" x14ac:dyDescent="0.25">
      <c r="A59" s="15">
        <v>44013</v>
      </c>
      <c r="B59" s="25">
        <v>0.15210299999999999</v>
      </c>
      <c r="D59" s="25"/>
      <c r="E59" s="95"/>
      <c r="F59" s="25"/>
    </row>
    <row r="60" spans="1:6" hidden="1" x14ac:dyDescent="0.25">
      <c r="A60" s="15">
        <v>44044</v>
      </c>
      <c r="B60" s="25">
        <v>0.15692800000000001</v>
      </c>
      <c r="D60" s="25"/>
      <c r="E60" s="95"/>
      <c r="F60" s="25"/>
    </row>
    <row r="61" spans="1:6" hidden="1" x14ac:dyDescent="0.25">
      <c r="A61" s="15">
        <v>44075</v>
      </c>
      <c r="B61" s="25">
        <v>0.15432000000000001</v>
      </c>
      <c r="D61" s="25"/>
      <c r="E61" s="95"/>
      <c r="F61" s="25"/>
    </row>
    <row r="62" spans="1:6" hidden="1" x14ac:dyDescent="0.25">
      <c r="A62" s="15">
        <v>44105</v>
      </c>
      <c r="B62" s="25">
        <v>0.114077</v>
      </c>
      <c r="D62" s="25"/>
      <c r="E62" s="95"/>
      <c r="F62" s="25"/>
    </row>
    <row r="63" spans="1:6" hidden="1" x14ac:dyDescent="0.25">
      <c r="A63" s="15">
        <v>44136</v>
      </c>
      <c r="B63" s="25">
        <v>0.102104</v>
      </c>
      <c r="D63" s="25"/>
      <c r="E63" s="95"/>
      <c r="F63" s="25"/>
    </row>
    <row r="64" spans="1:6" hidden="1" x14ac:dyDescent="0.25">
      <c r="A64" s="15">
        <v>44166</v>
      </c>
      <c r="B64" s="25">
        <v>0.10911800000000001</v>
      </c>
      <c r="D64" s="25"/>
      <c r="E64" s="95"/>
      <c r="F64" s="25"/>
    </row>
    <row r="65" spans="1:6" x14ac:dyDescent="0.25">
      <c r="A65" s="14">
        <v>44197</v>
      </c>
      <c r="B65" s="25">
        <v>0.11081000000000001</v>
      </c>
      <c r="D65" s="25"/>
      <c r="E65" s="95"/>
      <c r="F65" s="25"/>
    </row>
    <row r="66" spans="1:6" x14ac:dyDescent="0.25">
      <c r="A66" s="14">
        <v>44228</v>
      </c>
      <c r="B66" s="25">
        <v>0.12178899999999999</v>
      </c>
      <c r="D66" s="25"/>
      <c r="E66" s="95"/>
      <c r="F66" s="25"/>
    </row>
    <row r="67" spans="1:6" x14ac:dyDescent="0.25">
      <c r="A67" s="14">
        <v>44256</v>
      </c>
      <c r="B67" s="25">
        <v>0.10184699999999999</v>
      </c>
      <c r="D67" s="25"/>
      <c r="E67" s="95"/>
      <c r="F67" s="25"/>
    </row>
    <row r="68" spans="1:6" x14ac:dyDescent="0.25">
      <c r="A68" s="14">
        <v>44287</v>
      </c>
      <c r="B68" s="25">
        <v>0.105003</v>
      </c>
      <c r="D68" s="25"/>
      <c r="E68" s="95"/>
      <c r="F68" s="25"/>
    </row>
    <row r="69" spans="1:6" x14ac:dyDescent="0.25">
      <c r="A69" s="14">
        <v>44317</v>
      </c>
      <c r="B69" s="25">
        <v>0.118489</v>
      </c>
      <c r="D69" s="25"/>
      <c r="E69" s="95"/>
      <c r="F69" s="25"/>
    </row>
    <row r="70" spans="1:6" x14ac:dyDescent="0.25">
      <c r="A70" s="14">
        <v>44348</v>
      </c>
      <c r="B70" s="25">
        <v>0.12729499999999999</v>
      </c>
      <c r="D70" s="25"/>
      <c r="E70" s="95"/>
      <c r="F70" s="25"/>
    </row>
    <row r="71" spans="1:6" x14ac:dyDescent="0.25">
      <c r="A71" s="14">
        <v>44378</v>
      </c>
      <c r="B71" s="25">
        <v>0.15543499999999999</v>
      </c>
      <c r="D71" s="25"/>
      <c r="E71" s="95"/>
      <c r="F71" s="25"/>
    </row>
    <row r="72" spans="1:6" x14ac:dyDescent="0.25">
      <c r="A72" s="14">
        <v>44409</v>
      </c>
      <c r="B72" s="25">
        <v>0.11372500000000001</v>
      </c>
      <c r="D72" s="25"/>
      <c r="E72" s="95"/>
      <c r="F72" s="25"/>
    </row>
    <row r="73" spans="1:6" x14ac:dyDescent="0.25">
      <c r="A73" s="14">
        <v>44440</v>
      </c>
      <c r="B73" s="25">
        <v>0.106616</v>
      </c>
      <c r="D73" s="25"/>
      <c r="E73" s="95"/>
      <c r="F73" s="25"/>
    </row>
    <row r="74" spans="1:6" x14ac:dyDescent="0.25">
      <c r="A74" s="14">
        <v>44470</v>
      </c>
      <c r="B74" s="25">
        <v>8.9302999999999993E-2</v>
      </c>
      <c r="D74" s="25"/>
      <c r="E74" s="95"/>
      <c r="F74" s="25"/>
    </row>
    <row r="75" spans="1:6" x14ac:dyDescent="0.25">
      <c r="A75" s="14">
        <v>44501</v>
      </c>
      <c r="B75" s="25">
        <v>6.6633999999999999E-2</v>
      </c>
      <c r="D75" s="25"/>
      <c r="E75" s="95"/>
      <c r="F75" s="25"/>
    </row>
    <row r="76" spans="1:6" x14ac:dyDescent="0.25">
      <c r="A76" s="14">
        <v>44531</v>
      </c>
      <c r="B76" s="25">
        <v>0.106876</v>
      </c>
      <c r="D76" s="25"/>
      <c r="E76" s="95"/>
      <c r="F76" s="25"/>
    </row>
    <row r="77" spans="1:6" x14ac:dyDescent="0.25">
      <c r="A77" s="14">
        <v>44562</v>
      </c>
      <c r="B77" s="25">
        <v>0.108279</v>
      </c>
      <c r="D77" s="25"/>
      <c r="E77" s="95"/>
      <c r="F77" s="25"/>
    </row>
    <row r="78" spans="1:6" x14ac:dyDescent="0.25">
      <c r="A78" s="14">
        <v>44593</v>
      </c>
      <c r="B78" s="25">
        <v>0.11074299999999999</v>
      </c>
      <c r="D78" s="25"/>
      <c r="E78" s="95"/>
      <c r="F78" s="25"/>
    </row>
    <row r="79" spans="1:6" x14ac:dyDescent="0.25">
      <c r="A79" s="14">
        <v>44621</v>
      </c>
      <c r="B79" s="25">
        <v>0.12986900000000001</v>
      </c>
      <c r="D79" s="25"/>
      <c r="E79" s="95"/>
      <c r="F79" s="25"/>
    </row>
    <row r="80" spans="1:6" x14ac:dyDescent="0.25">
      <c r="A80" s="14">
        <v>44652</v>
      </c>
      <c r="B80" s="25">
        <v>0.15177599999999999</v>
      </c>
      <c r="D80" s="25"/>
      <c r="E80" s="95"/>
      <c r="F80" s="25"/>
    </row>
    <row r="81" spans="1:6" x14ac:dyDescent="0.25">
      <c r="A81" s="14">
        <v>44682</v>
      </c>
      <c r="B81" s="25">
        <v>0.110897</v>
      </c>
      <c r="D81" s="25"/>
      <c r="E81" s="95"/>
      <c r="F81" s="25"/>
    </row>
    <row r="82" spans="1:6" x14ac:dyDescent="0.25">
      <c r="A82" s="14">
        <v>44713</v>
      </c>
      <c r="B82" s="25">
        <v>0.123853</v>
      </c>
      <c r="D82" s="25"/>
      <c r="E82" s="95"/>
      <c r="F82" s="25"/>
    </row>
    <row r="83" spans="1:6" x14ac:dyDescent="0.25">
      <c r="A83" s="14">
        <v>44743</v>
      </c>
      <c r="B83" s="25">
        <v>0.12698699999999999</v>
      </c>
      <c r="D83" s="25"/>
      <c r="E83" s="95"/>
      <c r="F83" s="25"/>
    </row>
    <row r="84" spans="1:6" x14ac:dyDescent="0.25">
      <c r="A84" s="14">
        <v>44774</v>
      </c>
      <c r="B84" s="25">
        <v>0.12057</v>
      </c>
      <c r="D84" s="25"/>
      <c r="E84" s="95"/>
      <c r="F84" s="25"/>
    </row>
    <row r="85" spans="1:6" x14ac:dyDescent="0.25">
      <c r="A85" s="14">
        <v>44805</v>
      </c>
      <c r="B85" s="25">
        <v>0.14147799999999999</v>
      </c>
      <c r="D85" s="25"/>
      <c r="E85" s="95"/>
      <c r="F85" s="25"/>
    </row>
    <row r="86" spans="1:6" x14ac:dyDescent="0.25">
      <c r="A86" s="14">
        <v>44835</v>
      </c>
      <c r="B86" s="25">
        <v>0.147482</v>
      </c>
      <c r="D86" s="25"/>
      <c r="E86" s="95"/>
      <c r="F86" s="25"/>
    </row>
    <row r="87" spans="1:6" x14ac:dyDescent="0.25">
      <c r="A87" s="14">
        <v>44866</v>
      </c>
      <c r="B87" s="25">
        <v>0</v>
      </c>
      <c r="D87" s="25"/>
      <c r="E87" s="95"/>
      <c r="F87" s="25"/>
    </row>
    <row r="88" spans="1:6" x14ac:dyDescent="0.25">
      <c r="A88" s="14">
        <v>44896</v>
      </c>
      <c r="B88" s="25">
        <v>0.13514499999999999</v>
      </c>
    </row>
    <row r="89" spans="1:6" x14ac:dyDescent="0.25">
      <c r="A89" s="14">
        <v>44927</v>
      </c>
      <c r="B89" s="25">
        <v>0.10367700000000001</v>
      </c>
    </row>
    <row r="90" spans="1:6" x14ac:dyDescent="0.25">
      <c r="A90" s="14">
        <v>44958</v>
      </c>
      <c r="B90" s="25">
        <v>0.12101099999999999</v>
      </c>
    </row>
    <row r="91" spans="1:6" x14ac:dyDescent="0.25">
      <c r="A91" s="14">
        <v>44986</v>
      </c>
      <c r="B91" s="25">
        <v>0.20216300000000001</v>
      </c>
    </row>
    <row r="92" spans="1:6" x14ac:dyDescent="0.25">
      <c r="A92" s="14">
        <v>45017</v>
      </c>
      <c r="B92" s="25">
        <v>0.241227</v>
      </c>
    </row>
    <row r="93" spans="1:6" x14ac:dyDescent="0.25">
      <c r="A93" s="14">
        <v>45047</v>
      </c>
      <c r="B93" s="25">
        <v>0.37820399999999998</v>
      </c>
    </row>
    <row r="94" spans="1:6" x14ac:dyDescent="0.25">
      <c r="A94" s="14">
        <v>45078</v>
      </c>
      <c r="B94" s="25">
        <v>0.31261899999999998</v>
      </c>
    </row>
    <row r="95" spans="1:6" x14ac:dyDescent="0.25">
      <c r="A95" s="14">
        <v>45108</v>
      </c>
      <c r="B95" s="25">
        <v>0.40142899999999998</v>
      </c>
    </row>
    <row r="96" spans="1:6" x14ac:dyDescent="0.25">
      <c r="A96" s="14">
        <v>45139</v>
      </c>
      <c r="B96" s="25">
        <v>0.30302499999999999</v>
      </c>
    </row>
    <row r="97" spans="1:2" x14ac:dyDescent="0.25">
      <c r="A97" s="14">
        <v>45170</v>
      </c>
      <c r="B97" s="25">
        <v>0.205092</v>
      </c>
    </row>
    <row r="98" spans="1:2" x14ac:dyDescent="0.25">
      <c r="A98" s="14">
        <v>45200</v>
      </c>
      <c r="B98" s="25">
        <v>0.31087999999999999</v>
      </c>
    </row>
    <row r="99" spans="1:2" x14ac:dyDescent="0.25">
      <c r="A99" s="14">
        <v>45231</v>
      </c>
      <c r="B99" s="25">
        <v>0.269316</v>
      </c>
    </row>
    <row r="100" spans="1:2" x14ac:dyDescent="0.25">
      <c r="A100" s="14">
        <v>45261</v>
      </c>
      <c r="B100" s="25">
        <v>0.30130299999999999</v>
      </c>
    </row>
    <row r="101" spans="1:2" x14ac:dyDescent="0.25">
      <c r="A101" s="14">
        <v>45292</v>
      </c>
      <c r="B101" s="25">
        <v>0.29108499999999998</v>
      </c>
    </row>
    <row r="102" spans="1:2" x14ac:dyDescent="0.25">
      <c r="A102" s="14">
        <v>45323</v>
      </c>
      <c r="B102" s="25">
        <v>0.29903400000000002</v>
      </c>
    </row>
    <row r="103" spans="1:2" x14ac:dyDescent="0.25">
      <c r="A103" s="14">
        <v>45352</v>
      </c>
      <c r="B103" s="25">
        <v>0.45419599999999999</v>
      </c>
    </row>
    <row r="104" spans="1:2" x14ac:dyDescent="0.25">
      <c r="A104" s="14">
        <v>45383</v>
      </c>
      <c r="B104" s="25">
        <v>0.34164499999999998</v>
      </c>
    </row>
    <row r="105" spans="1:2" x14ac:dyDescent="0.25">
      <c r="A105" s="14">
        <v>45413</v>
      </c>
      <c r="B105" s="25">
        <v>0.31060199999999999</v>
      </c>
    </row>
    <row r="106" spans="1:2" x14ac:dyDescent="0.25">
      <c r="A106" s="14">
        <v>45444</v>
      </c>
      <c r="B106" s="25">
        <v>0.30881900000000001</v>
      </c>
    </row>
    <row r="107" spans="1:2" x14ac:dyDescent="0.25">
      <c r="A107" s="14">
        <v>45474</v>
      </c>
      <c r="B107" s="25">
        <v>0.31423099999999998</v>
      </c>
    </row>
    <row r="108" spans="1:2" x14ac:dyDescent="0.25">
      <c r="A108" s="14">
        <v>45505</v>
      </c>
      <c r="B108" s="25">
        <v>0.38170900000000002</v>
      </c>
    </row>
    <row r="109" spans="1:2" x14ac:dyDescent="0.25">
      <c r="A109" s="14">
        <v>45536</v>
      </c>
      <c r="B109" s="25">
        <v>0.41731499999999999</v>
      </c>
    </row>
    <row r="110" spans="1:2" x14ac:dyDescent="0.25">
      <c r="A110" s="14">
        <v>45566</v>
      </c>
      <c r="B110" s="25">
        <v>0.41150399999999998</v>
      </c>
    </row>
    <row r="111" spans="1:2" x14ac:dyDescent="0.25">
      <c r="A111" s="14">
        <v>45597</v>
      </c>
      <c r="B111" s="25">
        <v>0.48625000000000002</v>
      </c>
    </row>
    <row r="112" spans="1:2" x14ac:dyDescent="0.25">
      <c r="A112" s="14">
        <v>45627</v>
      </c>
      <c r="B112" s="25">
        <v>0.39985799999999999</v>
      </c>
    </row>
    <row r="113" spans="1:17" x14ac:dyDescent="0.25">
      <c r="A113" s="14">
        <v>45658</v>
      </c>
      <c r="B113" s="25">
        <v>0.41091699999999998</v>
      </c>
    </row>
    <row r="114" spans="1:17" x14ac:dyDescent="0.25">
      <c r="A114" s="14">
        <v>45689</v>
      </c>
      <c r="B114" s="25">
        <v>0.48166799999999999</v>
      </c>
    </row>
    <row r="115" spans="1:17" x14ac:dyDescent="0.25">
      <c r="A115" s="14">
        <v>45717</v>
      </c>
      <c r="B115" s="25">
        <v>0.47711100000000001</v>
      </c>
    </row>
    <row r="116" spans="1:17" x14ac:dyDescent="0.25">
      <c r="A116" s="14">
        <v>45748</v>
      </c>
      <c r="B116" s="25">
        <v>0.45650600000000002</v>
      </c>
    </row>
    <row r="117" spans="1:17" x14ac:dyDescent="0.25">
      <c r="A117" s="14">
        <v>45778</v>
      </c>
      <c r="B117" s="25">
        <v>0.55486899999999995</v>
      </c>
    </row>
    <row r="118" spans="1:17" x14ac:dyDescent="0.25">
      <c r="A118" s="14"/>
      <c r="B118" s="25"/>
    </row>
    <row r="119" spans="1:17" x14ac:dyDescent="0.25">
      <c r="A119" s="14"/>
      <c r="B119" s="25"/>
    </row>
    <row r="120" spans="1:17" x14ac:dyDescent="0.25">
      <c r="A120" s="14"/>
      <c r="B120" s="25"/>
    </row>
    <row r="121" spans="1:17" ht="75" x14ac:dyDescent="0.25">
      <c r="A121" s="27">
        <f>Pooling_Month</f>
        <v>45839</v>
      </c>
      <c r="B121" s="20" t="s">
        <v>136</v>
      </c>
    </row>
    <row r="122" spans="1:17" x14ac:dyDescent="0.25">
      <c r="A122" s="31" t="s">
        <v>60</v>
      </c>
      <c r="B122" s="260">
        <v>0.55849799999999994</v>
      </c>
    </row>
    <row r="123" spans="1:17" ht="13.5" customHeight="1" x14ac:dyDescent="0.25"/>
    <row r="124" spans="1:17" hidden="1" x14ac:dyDescent="0.25"/>
    <row r="125" spans="1:17" hidden="1" x14ac:dyDescent="0.25">
      <c r="A125" s="40" t="s">
        <v>213</v>
      </c>
      <c r="B125" s="95">
        <f>B107-B105</f>
        <v>3.6289999999999933E-3</v>
      </c>
    </row>
    <row r="126" spans="1:17" hidden="1" x14ac:dyDescent="0.25">
      <c r="A126" s="93" t="s">
        <v>214</v>
      </c>
      <c r="B126" s="95">
        <f>B117</f>
        <v>0.55486899999999995</v>
      </c>
      <c r="J126" t="s">
        <v>195</v>
      </c>
    </row>
    <row r="127" spans="1:17" hidden="1" x14ac:dyDescent="0.25">
      <c r="A127" s="269" t="s">
        <v>209</v>
      </c>
      <c r="B127" s="95">
        <f>SUM(B125:B126)</f>
        <v>0.55849799999999994</v>
      </c>
      <c r="C127" s="3"/>
      <c r="E127" s="3"/>
      <c r="F127" s="3"/>
      <c r="G127" s="3"/>
      <c r="H127" s="3"/>
      <c r="I127" s="3"/>
      <c r="J127" s="3"/>
      <c r="K127" s="3"/>
      <c r="L127" s="3"/>
      <c r="M127" s="3"/>
      <c r="N127" s="3"/>
      <c r="O127" s="3"/>
      <c r="P127" s="3"/>
      <c r="Q127" s="3"/>
    </row>
    <row r="128" spans="1:17" hidden="1" x14ac:dyDescent="0.25">
      <c r="A128" s="92" t="s">
        <v>204</v>
      </c>
      <c r="B128" s="95">
        <f>B107</f>
        <v>0.31423099999999998</v>
      </c>
      <c r="C128" s="3"/>
      <c r="E128" s="3"/>
      <c r="F128" s="3"/>
      <c r="G128" s="3"/>
      <c r="H128" s="3"/>
      <c r="I128" s="3"/>
      <c r="J128" s="3"/>
      <c r="K128" s="3"/>
      <c r="L128" s="3"/>
      <c r="M128" s="3"/>
      <c r="N128" s="3"/>
      <c r="O128" s="3"/>
      <c r="P128" s="3"/>
      <c r="Q128" s="3"/>
    </row>
    <row r="129" spans="1:2" hidden="1" x14ac:dyDescent="0.25">
      <c r="A129" t="s">
        <v>83</v>
      </c>
      <c r="B129" s="25">
        <f>AVERAGE(B127:B128)</f>
        <v>0.43636449999999993</v>
      </c>
    </row>
    <row r="130" spans="1:2" hidden="1" x14ac:dyDescent="0.25"/>
    <row r="131" spans="1:2" hidden="1" x14ac:dyDescent="0.25">
      <c r="A131" s="92" t="s">
        <v>205</v>
      </c>
      <c r="B131" s="25">
        <f>B95</f>
        <v>0.40142899999999998</v>
      </c>
    </row>
    <row r="132" spans="1:2" hidden="1" x14ac:dyDescent="0.25">
      <c r="A132" t="s">
        <v>85</v>
      </c>
      <c r="B132" s="25">
        <f>AVERAGE(B127:B128,B131)</f>
        <v>0.42471933333333328</v>
      </c>
    </row>
  </sheetData>
  <sheetProtection algorithmName="SHA-512" hashValue="3u+JBrgbiSvFCY/yLg7QgbkFPLdhoqtR5mI3y0vrhDPucZAnXrW6E4xlAJnUbwhzcQWmzFW47LdaHNEPyY/0qA==" saltValue="jCj0qwXgN5+7flGFWctg+A=="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9" tint="0.39997558519241921"/>
  </sheetPr>
  <dimension ref="A1:N162"/>
  <sheetViews>
    <sheetView topLeftCell="A145" workbookViewId="0">
      <selection activeCell="C169" sqref="C169"/>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140</v>
      </c>
      <c r="C1" s="4"/>
      <c r="D1" s="4"/>
      <c r="E1" s="4"/>
      <c r="F1" s="4"/>
    </row>
    <row r="2" spans="1:6" hidden="1" x14ac:dyDescent="0.25">
      <c r="A2" s="14">
        <v>41579</v>
      </c>
      <c r="B2" s="25">
        <v>7.554E-3</v>
      </c>
    </row>
    <row r="3" spans="1:6" hidden="1" x14ac:dyDescent="0.25">
      <c r="A3" s="14">
        <v>41609</v>
      </c>
      <c r="B3" s="25">
        <v>2.9475999999999999E-2</v>
      </c>
    </row>
    <row r="4" spans="1:6" hidden="1" x14ac:dyDescent="0.25">
      <c r="A4" s="14">
        <v>41640</v>
      </c>
      <c r="B4" s="25">
        <v>2.8667000000000002E-2</v>
      </c>
    </row>
    <row r="5" spans="1:6" hidden="1" x14ac:dyDescent="0.25">
      <c r="A5" s="14">
        <v>41671</v>
      </c>
      <c r="B5" s="25">
        <v>4.5931E-2</v>
      </c>
    </row>
    <row r="6" spans="1:6" hidden="1" x14ac:dyDescent="0.25">
      <c r="A6" s="14">
        <v>41699</v>
      </c>
      <c r="B6" s="25">
        <v>6.7464999999999997E-2</v>
      </c>
    </row>
    <row r="7" spans="1:6" hidden="1" x14ac:dyDescent="0.25">
      <c r="A7" s="14">
        <v>41730</v>
      </c>
      <c r="B7" s="25">
        <v>8.2623000000000002E-2</v>
      </c>
    </row>
    <row r="8" spans="1:6" hidden="1" x14ac:dyDescent="0.25">
      <c r="A8" s="14">
        <v>41760</v>
      </c>
      <c r="B8" s="25">
        <v>0.14266000000000001</v>
      </c>
    </row>
    <row r="9" spans="1:6" hidden="1" x14ac:dyDescent="0.25">
      <c r="A9" s="14">
        <v>41791</v>
      </c>
      <c r="B9" s="25">
        <v>0.19531799999999999</v>
      </c>
    </row>
    <row r="10" spans="1:6" hidden="1" x14ac:dyDescent="0.25">
      <c r="A10" s="14">
        <v>41821</v>
      </c>
      <c r="B10" s="25">
        <v>0.149753</v>
      </c>
    </row>
    <row r="11" spans="1:6" hidden="1" x14ac:dyDescent="0.25">
      <c r="A11" s="14">
        <v>41852</v>
      </c>
      <c r="B11" s="25">
        <v>0.116357</v>
      </c>
    </row>
    <row r="12" spans="1:6" hidden="1" x14ac:dyDescent="0.25">
      <c r="A12" s="14">
        <v>41883</v>
      </c>
      <c r="B12" s="25">
        <v>5.0255000000000001E-2</v>
      </c>
    </row>
    <row r="13" spans="1:6" hidden="1" x14ac:dyDescent="0.25">
      <c r="A13" s="14">
        <v>41913</v>
      </c>
      <c r="B13" s="25">
        <v>3.4869999999999998E-2</v>
      </c>
    </row>
    <row r="14" spans="1:6" hidden="1" x14ac:dyDescent="0.25">
      <c r="A14" s="14">
        <v>41944</v>
      </c>
      <c r="B14" s="25">
        <v>4.7017999999999997E-2</v>
      </c>
    </row>
    <row r="15" spans="1:6" hidden="1" x14ac:dyDescent="0.25">
      <c r="A15" s="14">
        <v>41974</v>
      </c>
      <c r="B15" s="25">
        <v>0.112259</v>
      </c>
    </row>
    <row r="16" spans="1:6" hidden="1" x14ac:dyDescent="0.25">
      <c r="A16" s="14">
        <v>42005</v>
      </c>
      <c r="B16" s="25">
        <v>6.8894999999999998E-2</v>
      </c>
    </row>
    <row r="17" spans="1:4" hidden="1" x14ac:dyDescent="0.25">
      <c r="A17" s="14">
        <v>42036</v>
      </c>
      <c r="B17" s="25">
        <v>9.6212000000000006E-2</v>
      </c>
    </row>
    <row r="18" spans="1:4" hidden="1" x14ac:dyDescent="0.25">
      <c r="A18" s="14">
        <v>42064</v>
      </c>
      <c r="B18" s="25">
        <v>0.110914</v>
      </c>
    </row>
    <row r="19" spans="1:4" hidden="1" x14ac:dyDescent="0.25">
      <c r="A19" s="14">
        <v>42095</v>
      </c>
      <c r="B19" s="25">
        <v>0.122809</v>
      </c>
    </row>
    <row r="20" spans="1:4" hidden="1" x14ac:dyDescent="0.25">
      <c r="A20" s="14">
        <v>42125</v>
      </c>
      <c r="B20" s="25">
        <v>0.13458500000000001</v>
      </c>
    </row>
    <row r="21" spans="1:4" hidden="1" x14ac:dyDescent="0.25">
      <c r="A21" s="14">
        <v>42156</v>
      </c>
      <c r="B21" s="25">
        <v>0.189001</v>
      </c>
    </row>
    <row r="22" spans="1:4" hidden="1" x14ac:dyDescent="0.25">
      <c r="A22" s="14">
        <v>42186</v>
      </c>
      <c r="B22" s="25">
        <v>0.13778699999999999</v>
      </c>
    </row>
    <row r="23" spans="1:4" hidden="1" x14ac:dyDescent="0.25">
      <c r="A23" s="14">
        <v>42217</v>
      </c>
      <c r="B23" s="25">
        <v>0.10169499999999999</v>
      </c>
    </row>
    <row r="24" spans="1:4" hidden="1" x14ac:dyDescent="0.25">
      <c r="A24" s="14">
        <v>42248</v>
      </c>
      <c r="B24" s="25">
        <v>5.6767999999999999E-2</v>
      </c>
    </row>
    <row r="25" spans="1:4" hidden="1" x14ac:dyDescent="0.25">
      <c r="A25" s="14">
        <v>42278</v>
      </c>
      <c r="B25" s="25">
        <v>5.2735999999999998E-2</v>
      </c>
    </row>
    <row r="26" spans="1:4" hidden="1" x14ac:dyDescent="0.25">
      <c r="A26" s="14">
        <v>42309</v>
      </c>
      <c r="B26" s="25">
        <v>4.2098999999999998E-2</v>
      </c>
    </row>
    <row r="27" spans="1:4" hidden="1" x14ac:dyDescent="0.25">
      <c r="A27" s="14">
        <v>42339</v>
      </c>
      <c r="B27" s="25">
        <v>6.4781000000000005E-2</v>
      </c>
      <c r="D27" s="25"/>
    </row>
    <row r="28" spans="1:4" hidden="1" x14ac:dyDescent="0.25">
      <c r="A28" s="14">
        <v>42370</v>
      </c>
      <c r="B28" s="25">
        <v>8.8657E-2</v>
      </c>
      <c r="D28" s="25"/>
    </row>
    <row r="29" spans="1:4" hidden="1" x14ac:dyDescent="0.25">
      <c r="A29" s="14">
        <v>42401</v>
      </c>
      <c r="B29" s="25">
        <v>7.8405000000000002E-2</v>
      </c>
      <c r="D29" s="25"/>
    </row>
    <row r="30" spans="1:4" hidden="1" x14ac:dyDescent="0.25">
      <c r="A30" s="14">
        <v>42430</v>
      </c>
      <c r="B30" s="25">
        <v>9.5011999999999999E-2</v>
      </c>
      <c r="D30" s="25"/>
    </row>
    <row r="31" spans="1:4" hidden="1" x14ac:dyDescent="0.25">
      <c r="A31" s="14">
        <v>42461</v>
      </c>
      <c r="B31" s="25">
        <v>0.103967</v>
      </c>
      <c r="D31" s="25"/>
    </row>
    <row r="32" spans="1:4" hidden="1" x14ac:dyDescent="0.25">
      <c r="A32" s="14">
        <v>42491</v>
      </c>
      <c r="B32" s="25">
        <v>0.120104</v>
      </c>
      <c r="D32" s="25"/>
    </row>
    <row r="33" spans="1:4" hidden="1" x14ac:dyDescent="0.25">
      <c r="A33" s="14">
        <v>42522</v>
      </c>
      <c r="B33" s="25">
        <v>0.15414700000000001</v>
      </c>
      <c r="D33" s="25"/>
    </row>
    <row r="34" spans="1:4" hidden="1" x14ac:dyDescent="0.25">
      <c r="A34" s="14">
        <v>42552</v>
      </c>
      <c r="B34" s="25">
        <v>0.12681400000000001</v>
      </c>
      <c r="D34" s="25"/>
    </row>
    <row r="35" spans="1:4" hidden="1" x14ac:dyDescent="0.25">
      <c r="A35" s="14">
        <v>42583</v>
      </c>
      <c r="B35" s="25">
        <v>6.7128999999999994E-2</v>
      </c>
      <c r="D35" s="25"/>
    </row>
    <row r="36" spans="1:4" hidden="1" x14ac:dyDescent="0.25">
      <c r="A36" s="14">
        <v>42614</v>
      </c>
      <c r="B36" s="25">
        <v>2.6270999999999999E-2</v>
      </c>
      <c r="D36" s="25"/>
    </row>
    <row r="37" spans="1:4" hidden="1" x14ac:dyDescent="0.25">
      <c r="A37" s="14">
        <v>42644</v>
      </c>
      <c r="B37" s="25">
        <v>1.9757E-2</v>
      </c>
      <c r="D37" s="25"/>
    </row>
    <row r="38" spans="1:4" hidden="1" x14ac:dyDescent="0.25">
      <c r="A38" s="14">
        <v>42675</v>
      </c>
      <c r="B38" s="25">
        <v>4.0516000000000003E-2</v>
      </c>
      <c r="D38" s="25"/>
    </row>
    <row r="39" spans="1:4" hidden="1" x14ac:dyDescent="0.25">
      <c r="A39" s="14">
        <v>42705</v>
      </c>
      <c r="B39" s="25">
        <v>3.2499E-2</v>
      </c>
      <c r="D39" s="25"/>
    </row>
    <row r="40" spans="1:4" hidden="1" x14ac:dyDescent="0.25">
      <c r="A40" s="14">
        <v>42736</v>
      </c>
      <c r="B40" s="25">
        <v>4.4687999999999999E-2</v>
      </c>
      <c r="D40" s="25"/>
    </row>
    <row r="41" spans="1:4" hidden="1" x14ac:dyDescent="0.25">
      <c r="A41" s="14">
        <v>42767</v>
      </c>
      <c r="B41" s="25">
        <v>3.6873999999999997E-2</v>
      </c>
      <c r="D41" s="25"/>
    </row>
    <row r="42" spans="1:4" hidden="1" x14ac:dyDescent="0.25">
      <c r="A42" s="14">
        <v>42795</v>
      </c>
      <c r="B42" s="25">
        <v>3.6135E-2</v>
      </c>
      <c r="D42" s="25"/>
    </row>
    <row r="43" spans="1:4" hidden="1" x14ac:dyDescent="0.25">
      <c r="A43" s="14">
        <v>42826</v>
      </c>
      <c r="B43" s="25">
        <v>6.0714999999999998E-2</v>
      </c>
      <c r="D43" s="25"/>
    </row>
    <row r="44" spans="1:4" hidden="1" x14ac:dyDescent="0.25">
      <c r="A44" s="14">
        <v>42856</v>
      </c>
      <c r="B44" s="25">
        <v>7.1289000000000005E-2</v>
      </c>
      <c r="D44" s="25"/>
    </row>
    <row r="45" spans="1:4" hidden="1" x14ac:dyDescent="0.25">
      <c r="A45" s="14">
        <v>42887</v>
      </c>
      <c r="B45" s="25">
        <v>0.116586</v>
      </c>
      <c r="D45" s="25"/>
    </row>
    <row r="46" spans="1:4" hidden="1" x14ac:dyDescent="0.25">
      <c r="A46" s="14">
        <v>42917</v>
      </c>
      <c r="B46" s="25">
        <v>0.115332</v>
      </c>
      <c r="D46" s="25"/>
    </row>
    <row r="47" spans="1:4" hidden="1" x14ac:dyDescent="0.25">
      <c r="A47" s="14">
        <v>42948</v>
      </c>
      <c r="B47" s="25">
        <v>4.7965000000000001E-2</v>
      </c>
      <c r="D47" s="25"/>
    </row>
    <row r="48" spans="1:4" hidden="1" x14ac:dyDescent="0.25">
      <c r="A48" s="14">
        <v>42979</v>
      </c>
      <c r="B48" s="25">
        <v>3.1913999999999998E-2</v>
      </c>
      <c r="D48" s="25"/>
    </row>
    <row r="49" spans="1:2" hidden="1" x14ac:dyDescent="0.25">
      <c r="A49" s="14">
        <v>43009</v>
      </c>
      <c r="B49" s="25">
        <v>1.9567000000000001E-2</v>
      </c>
    </row>
    <row r="50" spans="1:2" hidden="1" x14ac:dyDescent="0.25">
      <c r="A50" s="14">
        <v>43040</v>
      </c>
      <c r="B50" s="25">
        <v>1.6257000000000001E-2</v>
      </c>
    </row>
    <row r="51" spans="1:2" hidden="1" x14ac:dyDescent="0.25">
      <c r="A51" s="14">
        <v>43070</v>
      </c>
      <c r="B51" s="25">
        <v>5.0563999999999998E-2</v>
      </c>
    </row>
    <row r="52" spans="1:2" hidden="1" x14ac:dyDescent="0.25">
      <c r="A52" s="14">
        <v>43101</v>
      </c>
      <c r="B52" s="25">
        <v>4.5267000000000002E-2</v>
      </c>
    </row>
    <row r="53" spans="1:2" hidden="1" x14ac:dyDescent="0.25">
      <c r="A53" s="14">
        <v>43132</v>
      </c>
      <c r="B53" s="25">
        <v>4.9834999999999997E-2</v>
      </c>
    </row>
    <row r="54" spans="1:2" hidden="1" x14ac:dyDescent="0.25">
      <c r="A54" s="14">
        <v>43160</v>
      </c>
      <c r="B54" s="25">
        <v>3.7040999999999998E-2</v>
      </c>
    </row>
    <row r="55" spans="1:2" hidden="1" x14ac:dyDescent="0.25">
      <c r="A55" s="14">
        <v>43191</v>
      </c>
      <c r="B55" s="25">
        <v>7.1703000000000003E-2</v>
      </c>
    </row>
    <row r="56" spans="1:2" hidden="1" x14ac:dyDescent="0.25">
      <c r="A56" s="14">
        <v>43221</v>
      </c>
      <c r="B56" s="25">
        <v>7.8208E-2</v>
      </c>
    </row>
    <row r="57" spans="1:2" hidden="1" x14ac:dyDescent="0.25">
      <c r="A57" s="14">
        <v>43252</v>
      </c>
      <c r="B57" s="25">
        <v>0.127419</v>
      </c>
    </row>
    <row r="58" spans="1:2" hidden="1" x14ac:dyDescent="0.25">
      <c r="A58" s="14">
        <v>43282</v>
      </c>
      <c r="B58" s="25">
        <v>0.100065</v>
      </c>
    </row>
    <row r="59" spans="1:2" hidden="1" x14ac:dyDescent="0.25">
      <c r="A59" s="14">
        <v>43313</v>
      </c>
      <c r="B59" s="25">
        <v>6.5342999999999998E-2</v>
      </c>
    </row>
    <row r="60" spans="1:2" hidden="1" x14ac:dyDescent="0.25">
      <c r="A60" s="14">
        <v>43344</v>
      </c>
      <c r="B60" s="25">
        <v>3.163E-3</v>
      </c>
    </row>
    <row r="61" spans="1:2" hidden="1" x14ac:dyDescent="0.25">
      <c r="A61" s="14">
        <v>43374</v>
      </c>
      <c r="B61" s="25">
        <v>0</v>
      </c>
    </row>
    <row r="62" spans="1:2" hidden="1" x14ac:dyDescent="0.25">
      <c r="A62" s="14">
        <v>43405</v>
      </c>
      <c r="B62" s="25">
        <v>3.4009999999999999E-3</v>
      </c>
    </row>
    <row r="63" spans="1:2" hidden="1" x14ac:dyDescent="0.25">
      <c r="A63" s="14">
        <v>43435</v>
      </c>
      <c r="B63" s="25">
        <v>3.1359999999999999E-2</v>
      </c>
    </row>
    <row r="64" spans="1:2" hidden="1" x14ac:dyDescent="0.25">
      <c r="A64" s="14">
        <v>43466</v>
      </c>
      <c r="B64" s="25">
        <v>1.0895E-2</v>
      </c>
    </row>
    <row r="65" spans="1:14" hidden="1" x14ac:dyDescent="0.25">
      <c r="A65" s="14">
        <v>43497</v>
      </c>
      <c r="B65" s="25">
        <v>4.7711000000000003E-2</v>
      </c>
    </row>
    <row r="66" spans="1:14" hidden="1" x14ac:dyDescent="0.25">
      <c r="A66" s="14">
        <v>43525</v>
      </c>
      <c r="B66" s="25">
        <v>2.1010999999999998E-2</v>
      </c>
    </row>
    <row r="67" spans="1:14" hidden="1" x14ac:dyDescent="0.25">
      <c r="A67" s="14">
        <v>43556</v>
      </c>
      <c r="B67" s="25">
        <v>4.2083000000000002E-2</v>
      </c>
    </row>
    <row r="68" spans="1:14" hidden="1" x14ac:dyDescent="0.25">
      <c r="A68" s="14">
        <v>43586</v>
      </c>
      <c r="B68" s="25">
        <v>5.4078000000000001E-2</v>
      </c>
    </row>
    <row r="69" spans="1:14" hidden="1" x14ac:dyDescent="0.25">
      <c r="A69" s="14">
        <v>43617</v>
      </c>
      <c r="B69" s="25">
        <v>0.106305</v>
      </c>
    </row>
    <row r="70" spans="1:14" hidden="1" x14ac:dyDescent="0.25">
      <c r="A70" s="14">
        <v>43647</v>
      </c>
      <c r="B70" s="25">
        <v>0.104202</v>
      </c>
      <c r="M70" s="224"/>
      <c r="N70" s="94"/>
    </row>
    <row r="71" spans="1:14" hidden="1" x14ac:dyDescent="0.25">
      <c r="A71" s="14">
        <v>43678</v>
      </c>
      <c r="B71" s="25">
        <v>5.4970999999999999E-2</v>
      </c>
      <c r="M71" s="224"/>
      <c r="N71" s="94"/>
    </row>
    <row r="72" spans="1:14" hidden="1" x14ac:dyDescent="0.25">
      <c r="A72" s="14">
        <v>43709</v>
      </c>
      <c r="B72" s="25">
        <v>3.4021999999999997E-2</v>
      </c>
      <c r="M72" s="224"/>
      <c r="N72" s="94"/>
    </row>
    <row r="73" spans="1:14" hidden="1" x14ac:dyDescent="0.25">
      <c r="A73" s="14">
        <v>43739</v>
      </c>
      <c r="B73" s="25">
        <v>3.2586999999999998E-2</v>
      </c>
      <c r="M73" s="224"/>
      <c r="N73" s="94"/>
    </row>
    <row r="74" spans="1:14" hidden="1" x14ac:dyDescent="0.25">
      <c r="A74" s="14">
        <v>43770</v>
      </c>
      <c r="B74" s="25">
        <v>3.4629E-2</v>
      </c>
      <c r="M74" s="224"/>
      <c r="N74" s="94"/>
    </row>
    <row r="75" spans="1:14" hidden="1" x14ac:dyDescent="0.25">
      <c r="A75" s="14">
        <v>43800</v>
      </c>
      <c r="B75" s="25">
        <v>6.1619E-2</v>
      </c>
      <c r="M75" s="224"/>
      <c r="N75" s="94"/>
    </row>
    <row r="76" spans="1:14" hidden="1" x14ac:dyDescent="0.25">
      <c r="A76" s="14">
        <v>43831</v>
      </c>
      <c r="B76" s="25">
        <v>4.802E-2</v>
      </c>
      <c r="M76" s="224"/>
      <c r="N76" s="94"/>
    </row>
    <row r="77" spans="1:14" hidden="1" x14ac:dyDescent="0.25">
      <c r="A77" s="14">
        <v>43862</v>
      </c>
      <c r="B77" s="25">
        <v>3.8897000000000001E-2</v>
      </c>
      <c r="M77" s="224"/>
      <c r="N77" s="94"/>
    </row>
    <row r="78" spans="1:14" hidden="1" x14ac:dyDescent="0.25">
      <c r="A78" s="14">
        <v>43891</v>
      </c>
      <c r="B78" s="25">
        <v>3.6125999999999998E-2</v>
      </c>
      <c r="M78" s="224"/>
      <c r="N78" s="94"/>
    </row>
    <row r="79" spans="1:14" hidden="1" x14ac:dyDescent="0.25">
      <c r="A79" s="14">
        <v>43922</v>
      </c>
      <c r="B79" s="25">
        <v>5.3332999999999998E-2</v>
      </c>
      <c r="M79" s="224"/>
      <c r="N79" s="94"/>
    </row>
    <row r="80" spans="1:14" hidden="1" x14ac:dyDescent="0.25">
      <c r="A80" s="14">
        <v>43952</v>
      </c>
      <c r="B80" s="25">
        <v>5.8356999999999999E-2</v>
      </c>
      <c r="M80" s="224"/>
      <c r="N80" s="94"/>
    </row>
    <row r="81" spans="1:14" hidden="1" x14ac:dyDescent="0.25">
      <c r="A81" s="14">
        <v>43983</v>
      </c>
      <c r="B81" s="25">
        <v>8.8455000000000006E-2</v>
      </c>
      <c r="M81" s="224"/>
      <c r="N81" s="94"/>
    </row>
    <row r="82" spans="1:14" hidden="1" x14ac:dyDescent="0.25">
      <c r="A82" s="14">
        <v>44013</v>
      </c>
      <c r="B82" s="25">
        <v>7.6226000000000002E-2</v>
      </c>
      <c r="M82" s="224"/>
      <c r="N82" s="94"/>
    </row>
    <row r="83" spans="1:14" hidden="1" x14ac:dyDescent="0.25">
      <c r="A83" s="14">
        <v>44044</v>
      </c>
      <c r="B83" s="25">
        <v>4.0113000000000003E-2</v>
      </c>
      <c r="M83" s="224"/>
      <c r="N83" s="94"/>
    </row>
    <row r="84" spans="1:14" hidden="1" x14ac:dyDescent="0.25">
      <c r="A84" s="14">
        <v>44075</v>
      </c>
      <c r="B84" s="25">
        <v>3.5610999999999997E-2</v>
      </c>
      <c r="M84" s="224"/>
      <c r="N84" s="94"/>
    </row>
    <row r="85" spans="1:14" hidden="1" x14ac:dyDescent="0.25">
      <c r="A85" s="14">
        <v>44105</v>
      </c>
      <c r="B85" s="25">
        <v>3.2326000000000001E-2</v>
      </c>
      <c r="M85" s="224"/>
      <c r="N85" s="94"/>
    </row>
    <row r="86" spans="1:14" hidden="1" x14ac:dyDescent="0.25">
      <c r="A86" s="14">
        <v>44136</v>
      </c>
      <c r="B86" s="25">
        <v>3.1515000000000001E-2</v>
      </c>
      <c r="M86" s="224"/>
      <c r="N86" s="94"/>
    </row>
    <row r="87" spans="1:14" hidden="1"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2" x14ac:dyDescent="0.25">
      <c r="A129" s="14">
        <v>45444</v>
      </c>
      <c r="B129" s="25">
        <v>0</v>
      </c>
    </row>
    <row r="130" spans="1:2" x14ac:dyDescent="0.25">
      <c r="A130" s="14">
        <v>45474</v>
      </c>
      <c r="B130" s="25">
        <v>0</v>
      </c>
    </row>
    <row r="131" spans="1:2" x14ac:dyDescent="0.25">
      <c r="A131" s="14">
        <v>45505</v>
      </c>
      <c r="B131" s="25">
        <v>0</v>
      </c>
    </row>
    <row r="132" spans="1:2" x14ac:dyDescent="0.25">
      <c r="A132" s="14">
        <v>45536</v>
      </c>
      <c r="B132" s="25">
        <v>0</v>
      </c>
    </row>
    <row r="133" spans="1:2" x14ac:dyDescent="0.25">
      <c r="A133" s="14">
        <v>45566</v>
      </c>
      <c r="B133" s="25">
        <v>0</v>
      </c>
    </row>
    <row r="134" spans="1:2" x14ac:dyDescent="0.25">
      <c r="A134" s="14">
        <v>45597</v>
      </c>
      <c r="B134" s="25">
        <v>0</v>
      </c>
    </row>
    <row r="135" spans="1:2" x14ac:dyDescent="0.25">
      <c r="A135" s="14">
        <v>45627</v>
      </c>
      <c r="B135" s="25">
        <v>0</v>
      </c>
    </row>
    <row r="136" spans="1:2" x14ac:dyDescent="0.25">
      <c r="A136" s="14">
        <v>45658</v>
      </c>
      <c r="B136" s="25">
        <v>0</v>
      </c>
    </row>
    <row r="137" spans="1:2" x14ac:dyDescent="0.25">
      <c r="A137" s="14">
        <v>45689</v>
      </c>
      <c r="B137" s="25">
        <v>0</v>
      </c>
    </row>
    <row r="138" spans="1:2" x14ac:dyDescent="0.25">
      <c r="A138" s="14">
        <v>45717</v>
      </c>
      <c r="B138" s="25">
        <v>0</v>
      </c>
    </row>
    <row r="139" spans="1:2" x14ac:dyDescent="0.25">
      <c r="A139" s="14">
        <v>45748</v>
      </c>
      <c r="B139" s="25">
        <v>0</v>
      </c>
    </row>
    <row r="140" spans="1:2" x14ac:dyDescent="0.25">
      <c r="A140" s="14">
        <v>45778</v>
      </c>
      <c r="B140" s="25">
        <v>0</v>
      </c>
    </row>
    <row r="141" spans="1:2" x14ac:dyDescent="0.25">
      <c r="A141" s="14"/>
      <c r="B141" s="25"/>
    </row>
    <row r="142" spans="1:2" x14ac:dyDescent="0.25">
      <c r="A142" s="14"/>
      <c r="B142" s="25"/>
    </row>
    <row r="143" spans="1:2" x14ac:dyDescent="0.25">
      <c r="A143" s="14"/>
      <c r="B143" s="25"/>
    </row>
    <row r="144" spans="1:2" ht="75" x14ac:dyDescent="0.25">
      <c r="A144" s="27">
        <f>Pooling_Month</f>
        <v>45839</v>
      </c>
      <c r="B144" s="20" t="s">
        <v>139</v>
      </c>
    </row>
    <row r="145" spans="1:3" x14ac:dyDescent="0.25">
      <c r="A145" s="31" t="s">
        <v>60</v>
      </c>
      <c r="B145" s="32">
        <v>0</v>
      </c>
    </row>
    <row r="146" spans="1:3" ht="15.75" customHeight="1" x14ac:dyDescent="0.25"/>
    <row r="147" spans="1:3" ht="14.25" hidden="1" customHeight="1" x14ac:dyDescent="0.25">
      <c r="C147" t="s">
        <v>196</v>
      </c>
    </row>
    <row r="148" spans="1:3" hidden="1" x14ac:dyDescent="0.25">
      <c r="A148" s="40" t="s">
        <v>213</v>
      </c>
      <c r="B148" s="95">
        <f>B130-B128</f>
        <v>0</v>
      </c>
    </row>
    <row r="149" spans="1:3" hidden="1" x14ac:dyDescent="0.25">
      <c r="A149" s="93" t="s">
        <v>214</v>
      </c>
      <c r="B149" s="95">
        <f>B140</f>
        <v>0</v>
      </c>
    </row>
    <row r="150" spans="1:3" hidden="1" x14ac:dyDescent="0.25">
      <c r="A150" s="91" t="s">
        <v>209</v>
      </c>
      <c r="B150" s="95">
        <f>SUM(B148:B149)</f>
        <v>0</v>
      </c>
      <c r="C150" t="s">
        <v>211</v>
      </c>
    </row>
    <row r="151" spans="1:3" hidden="1" x14ac:dyDescent="0.25">
      <c r="A151" s="92" t="s">
        <v>204</v>
      </c>
      <c r="B151" s="95">
        <f>B130</f>
        <v>0</v>
      </c>
      <c r="C151" t="s">
        <v>215</v>
      </c>
    </row>
    <row r="152" spans="1:3" hidden="1" x14ac:dyDescent="0.25">
      <c r="A152" t="s">
        <v>83</v>
      </c>
      <c r="B152" s="95">
        <f>AVERAGE(B150:B151)</f>
        <v>0</v>
      </c>
    </row>
    <row r="153" spans="1:3" hidden="1" x14ac:dyDescent="0.25">
      <c r="B153" s="95"/>
    </row>
    <row r="154" spans="1:3" hidden="1" x14ac:dyDescent="0.25">
      <c r="A154" s="92" t="s">
        <v>205</v>
      </c>
      <c r="B154" s="95">
        <f>B118</f>
        <v>0</v>
      </c>
    </row>
    <row r="155" spans="1:3" hidden="1" x14ac:dyDescent="0.25">
      <c r="A155" s="91" t="s">
        <v>206</v>
      </c>
      <c r="B155" s="25">
        <f>B106</f>
        <v>3.5916999999999998E-2</v>
      </c>
    </row>
    <row r="156" spans="1:3" hidden="1" x14ac:dyDescent="0.25">
      <c r="A156" s="40" t="s">
        <v>207</v>
      </c>
      <c r="B156" s="25">
        <f>AVERAGE(B150,B151,B154,B155)</f>
        <v>8.9792499999999994E-3</v>
      </c>
    </row>
    <row r="157" spans="1:3" hidden="1" x14ac:dyDescent="0.25">
      <c r="A157" s="40" t="s">
        <v>210</v>
      </c>
      <c r="B157" s="25">
        <f>AVERAGE(B150,B151,B154)</f>
        <v>0</v>
      </c>
    </row>
    <row r="162" spans="4:4" x14ac:dyDescent="0.25">
      <c r="D162" s="218"/>
    </row>
  </sheetData>
  <sheetProtection algorithmName="SHA-512" hashValue="zHnIqse4tYjJBvdqm3q9hoFRwNvmw2uwjn9OW3EpmbHpK0IKaQNjfM7q/hTlWO74ffjcITXnKkR2o7KwXQjhrA==" saltValue="ORqoRBu+Cc4iFVBGb9Abv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9" tint="0.59999389629810485"/>
    <pageSetUpPr fitToPage="1"/>
  </sheetPr>
  <dimension ref="A1:I51"/>
  <sheetViews>
    <sheetView zoomScale="75" zoomScaleNormal="75" workbookViewId="0">
      <selection activeCell="B13" sqref="B13"/>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76" t="s">
        <v>59</v>
      </c>
      <c r="B1" s="276"/>
      <c r="C1" s="276"/>
      <c r="D1" s="276"/>
      <c r="E1" s="276"/>
      <c r="F1" s="276"/>
      <c r="G1" s="276"/>
      <c r="H1" s="276"/>
      <c r="I1" s="276"/>
    </row>
    <row r="2" spans="1:9" ht="23.25" x14ac:dyDescent="0.35">
      <c r="A2" s="275">
        <f>'Quota Price Estimator'!B4</f>
        <v>45839</v>
      </c>
      <c r="B2" s="275"/>
      <c r="C2" s="275"/>
      <c r="D2" s="275"/>
      <c r="E2" s="275"/>
      <c r="F2" s="275"/>
      <c r="G2" s="275"/>
      <c r="H2" s="275"/>
      <c r="I2" s="275"/>
    </row>
    <row r="3" spans="1:9" ht="19.5" thickBot="1" x14ac:dyDescent="0.35">
      <c r="A3" s="26"/>
      <c r="B3" s="6"/>
      <c r="C3" s="6"/>
      <c r="D3" s="6"/>
      <c r="E3" s="6"/>
      <c r="F3" s="6"/>
      <c r="G3" s="6"/>
      <c r="H3" s="6"/>
      <c r="I3" s="6"/>
    </row>
    <row r="4" spans="1:9" ht="215.1" customHeight="1" thickBot="1" x14ac:dyDescent="0.35">
      <c r="A4" s="270" t="s">
        <v>82</v>
      </c>
      <c r="B4" s="271"/>
      <c r="C4" s="271"/>
      <c r="D4" s="271"/>
      <c r="E4" s="271"/>
      <c r="F4" s="271"/>
      <c r="G4" s="271"/>
      <c r="H4" s="271"/>
      <c r="I4" s="272"/>
    </row>
    <row r="5" spans="1:9" ht="19.5" customHeight="1" thickBot="1" x14ac:dyDescent="0.35">
      <c r="A5" s="26"/>
      <c r="B5" s="6"/>
      <c r="C5" s="6"/>
      <c r="D5" s="6"/>
      <c r="E5" s="6"/>
      <c r="F5" s="6"/>
      <c r="G5" s="6"/>
      <c r="H5" s="6"/>
      <c r="I5" s="6"/>
    </row>
    <row r="6" spans="1:9" ht="72.75" customHeight="1" thickBot="1" x14ac:dyDescent="0.4">
      <c r="A6" s="273" t="s">
        <v>200</v>
      </c>
      <c r="B6" s="274"/>
      <c r="C6" s="274"/>
      <c r="D6" s="274"/>
      <c r="E6" s="274"/>
      <c r="F6" s="274"/>
      <c r="G6" s="274"/>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19.95236127463874</v>
      </c>
      <c r="C9" s="81">
        <f>QuotaButterfatPrice</f>
        <v>2.7164605150000005</v>
      </c>
      <c r="D9" s="82">
        <f>QuotaSkimPrice</f>
        <v>0.10823574582527189</v>
      </c>
      <c r="E9" s="82"/>
      <c r="F9" s="83"/>
      <c r="G9" s="84">
        <f>(QuotaButterfatPrice*PoolButterfatPercent*100)+(QuotaSkimPrice*(100-PoolButterfatPercent*100))</f>
        <v>20.974785384155233</v>
      </c>
      <c r="H9" s="1"/>
      <c r="I9" s="1"/>
    </row>
    <row r="10" spans="1:9" ht="15.75" x14ac:dyDescent="0.25">
      <c r="A10" s="85" t="s">
        <v>5</v>
      </c>
      <c r="B10" s="222">
        <f>ExcessButterfatPrice*3.5+ExcessSkimPrice*96.5</f>
        <v>18.45236127463874</v>
      </c>
      <c r="C10" s="86">
        <f>ExcessButterfatPrice</f>
        <v>2.7014605150000008</v>
      </c>
      <c r="D10" s="87">
        <f>ExcessSkimPrice</f>
        <v>9.3235745825271887E-2</v>
      </c>
      <c r="E10" s="87"/>
      <c r="F10" s="88"/>
      <c r="G10" s="89">
        <f>(ExcessButterfatPrice*PoolButterfatPercent*100)+(ExcessSkimPrice*(100-PoolButterfatPercent*100))</f>
        <v>19.474785384155233</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86</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99</v>
      </c>
      <c r="B25" s="114"/>
      <c r="F25" s="102" t="s">
        <v>111</v>
      </c>
      <c r="G25" s="103"/>
    </row>
    <row r="26" spans="1:9" ht="15.75" x14ac:dyDescent="0.25">
      <c r="A26" t="s">
        <v>112</v>
      </c>
      <c r="B26" s="115"/>
      <c r="F26" s="104"/>
      <c r="G26" s="105"/>
    </row>
    <row r="27" spans="1:9" ht="15.75" x14ac:dyDescent="0.25">
      <c r="F27" s="104" t="s">
        <v>98</v>
      </c>
      <c r="G27" s="106">
        <f>G20</f>
        <v>0</v>
      </c>
    </row>
    <row r="28" spans="1:9" ht="16.5" customHeight="1" x14ac:dyDescent="0.25">
      <c r="A28" t="s">
        <v>87</v>
      </c>
      <c r="B28" s="114"/>
      <c r="F28" s="104" t="s">
        <v>100</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88</v>
      </c>
      <c r="B34" s="115"/>
      <c r="F34" s="104" t="s">
        <v>101</v>
      </c>
      <c r="G34" s="106">
        <f>-ROUND(($G$15/100)*B28+B34+B35,2)</f>
        <v>0</v>
      </c>
    </row>
    <row r="35" spans="1:7" ht="15.75" x14ac:dyDescent="0.25">
      <c r="A35" t="s">
        <v>89</v>
      </c>
      <c r="B35" s="115"/>
      <c r="F35" s="104" t="s">
        <v>102</v>
      </c>
      <c r="G35" s="106">
        <f>-ROUND(($G$15/100)*B37,2)</f>
        <v>0</v>
      </c>
    </row>
    <row r="36" spans="1:7" ht="15.75" x14ac:dyDescent="0.25">
      <c r="F36" s="104" t="s">
        <v>103</v>
      </c>
      <c r="G36" s="106">
        <f>-ROUND(IF(($G$15/100)*B39&gt;B41,B41,IF(($G$15/100)*B39&lt;B40,B40,($G$15/100)*B39)),2)</f>
        <v>-50</v>
      </c>
    </row>
    <row r="37" spans="1:7" ht="15.75" x14ac:dyDescent="0.25">
      <c r="A37" t="s">
        <v>90</v>
      </c>
      <c r="B37" s="254">
        <v>2.1499999999999998E-2</v>
      </c>
      <c r="F37" s="104" t="s">
        <v>93</v>
      </c>
      <c r="G37" s="106">
        <f>-ROUND(($G$15/100)*B43,2)</f>
        <v>0</v>
      </c>
    </row>
    <row r="38" spans="1:7" ht="15.75" x14ac:dyDescent="0.25">
      <c r="B38" s="242"/>
      <c r="F38" s="104" t="s">
        <v>104</v>
      </c>
      <c r="G38" s="106">
        <f>-ROUND(($G$15/100)*B45+B46,2)</f>
        <v>0</v>
      </c>
    </row>
    <row r="39" spans="1:7" ht="15.75" x14ac:dyDescent="0.25">
      <c r="A39" s="40" t="s">
        <v>92</v>
      </c>
      <c r="B39" s="241">
        <v>0.14000000000000001</v>
      </c>
      <c r="F39" s="107" t="s">
        <v>105</v>
      </c>
      <c r="G39" s="108">
        <f>-ROUND(($G$15/100)*B48+B49,2)</f>
        <v>0</v>
      </c>
    </row>
    <row r="40" spans="1:7" ht="15.75" x14ac:dyDescent="0.25">
      <c r="A40" t="s">
        <v>91</v>
      </c>
      <c r="B40" s="243">
        <v>50</v>
      </c>
      <c r="F40" s="102" t="s">
        <v>106</v>
      </c>
      <c r="G40" s="109">
        <f>SUM(G27:G39)</f>
        <v>-50</v>
      </c>
    </row>
    <row r="41" spans="1:7" ht="15.75" x14ac:dyDescent="0.25">
      <c r="A41" t="s">
        <v>91</v>
      </c>
      <c r="B41" s="243">
        <v>1050</v>
      </c>
      <c r="F41" s="107" t="s">
        <v>107</v>
      </c>
      <c r="G41" s="108">
        <f>-B51</f>
        <v>0</v>
      </c>
    </row>
    <row r="42" spans="1:7" ht="15.75" x14ac:dyDescent="0.25">
      <c r="B42" s="242"/>
      <c r="F42" s="104" t="s">
        <v>108</v>
      </c>
      <c r="G42" s="106">
        <f>SUM(G40:G41)</f>
        <v>-50</v>
      </c>
    </row>
    <row r="43" spans="1:7" x14ac:dyDescent="0.25">
      <c r="A43" t="s">
        <v>94</v>
      </c>
      <c r="B43" s="241">
        <v>0.15</v>
      </c>
      <c r="F43" s="110"/>
      <c r="G43" s="111"/>
    </row>
    <row r="44" spans="1:7" x14ac:dyDescent="0.25">
      <c r="F44" s="110"/>
      <c r="G44" s="111"/>
    </row>
    <row r="45" spans="1:7" x14ac:dyDescent="0.25">
      <c r="A45" t="s">
        <v>95</v>
      </c>
      <c r="B45" s="114"/>
      <c r="F45" s="112" t="s">
        <v>110</v>
      </c>
      <c r="G45" s="113" t="str">
        <f>IF(G15=0,"",ROUND(G40/(G15/100),4))</f>
        <v/>
      </c>
    </row>
    <row r="46" spans="1:7" x14ac:dyDescent="0.25">
      <c r="A46" t="s">
        <v>96</v>
      </c>
      <c r="B46" s="115"/>
    </row>
    <row r="48" spans="1:7" x14ac:dyDescent="0.25">
      <c r="A48" t="s">
        <v>113</v>
      </c>
      <c r="B48" s="114"/>
    </row>
    <row r="49" spans="1:2" x14ac:dyDescent="0.25">
      <c r="A49" t="s">
        <v>97</v>
      </c>
      <c r="B49" s="115"/>
    </row>
    <row r="51" spans="1:2" x14ac:dyDescent="0.25">
      <c r="A51" t="s">
        <v>109</v>
      </c>
      <c r="B51" s="115"/>
    </row>
  </sheetData>
  <sheetProtection algorithmName="SHA-512" hashValue="Fzz5gPRudVCezDeIGG/KKXTym8wdyg2jn6I5BFF7Bpf75sE+ASD/L5+sh6H2lmNVLKR0mymI4iHhJo3t9X70yA==" saltValue="SByfEHMu1rc20b8cOzLQ4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39997558519241921"/>
    <pageSetUpPr fitToPage="1"/>
  </sheetPr>
  <dimension ref="A1:P91"/>
  <sheetViews>
    <sheetView tabSelected="1" workbookViewId="0">
      <selection activeCell="C19" sqref="C19"/>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7" customWidth="1"/>
    <col min="15" max="15" width="13.5703125" style="237" customWidth="1"/>
    <col min="16" max="16" width="13.85546875" style="237" customWidth="1"/>
    <col min="17" max="16384" width="9.140625" style="1"/>
  </cols>
  <sheetData>
    <row r="1" spans="1:13" ht="21" x14ac:dyDescent="0.35">
      <c r="A1" s="9" t="s">
        <v>191</v>
      </c>
      <c r="B1" s="7"/>
      <c r="C1" s="7"/>
      <c r="D1" s="7"/>
      <c r="E1" s="7"/>
      <c r="F1" s="7"/>
      <c r="G1" s="7"/>
      <c r="H1" s="7"/>
      <c r="I1" s="7"/>
    </row>
    <row r="2" spans="1:13" ht="18.75" x14ac:dyDescent="0.3">
      <c r="A2" s="258">
        <f>Pooling_Month</f>
        <v>45839</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59">
        <v>45839</v>
      </c>
      <c r="C4" s="123"/>
      <c r="D4" s="123"/>
      <c r="E4" s="123"/>
      <c r="F4" s="123"/>
      <c r="G4" s="123"/>
      <c r="H4" s="123"/>
      <c r="I4" s="124"/>
    </row>
    <row r="5" spans="1:13" ht="15.75" x14ac:dyDescent="0.25">
      <c r="A5" s="125" t="s">
        <v>1</v>
      </c>
      <c r="B5" s="126">
        <f>DAY(DATE(YEAR(Pooling_Month),MONTH(Pooling_Month)+1,0))</f>
        <v>31</v>
      </c>
      <c r="C5" s="126"/>
      <c r="D5" s="126"/>
      <c r="E5" s="126"/>
      <c r="F5" s="126"/>
      <c r="G5" s="126"/>
      <c r="H5" s="126"/>
      <c r="I5" s="127"/>
    </row>
    <row r="6" spans="1:13" ht="15.75" x14ac:dyDescent="0.25">
      <c r="A6" s="128" t="s">
        <v>50</v>
      </c>
      <c r="B6" s="129">
        <f>PoolDailyProd</f>
        <v>512236</v>
      </c>
      <c r="C6" s="126"/>
      <c r="D6" s="126"/>
      <c r="E6" s="126"/>
      <c r="F6" s="126"/>
      <c r="G6" s="126"/>
      <c r="H6" s="126"/>
      <c r="I6" s="127"/>
    </row>
    <row r="7" spans="1:13" ht="15.75" x14ac:dyDescent="0.25">
      <c r="A7" s="128" t="s">
        <v>15</v>
      </c>
      <c r="B7" s="130">
        <f>PoolButterfatPercent</f>
        <v>3.8919999999999996E-2</v>
      </c>
      <c r="C7" s="126"/>
      <c r="D7" s="126"/>
      <c r="E7" s="126"/>
      <c r="F7" s="126"/>
      <c r="G7" s="126"/>
      <c r="H7" s="126"/>
      <c r="I7" s="127"/>
    </row>
    <row r="8" spans="1:13" ht="15.75" x14ac:dyDescent="0.25">
      <c r="A8" s="128" t="s">
        <v>51</v>
      </c>
      <c r="B8" s="130">
        <f>PoolOverQuotaProdPerc</f>
        <v>7.2409999999999992E-3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15764333.872843999</v>
      </c>
      <c r="C11" s="135">
        <f>C13-C12</f>
        <v>613547.87433108839</v>
      </c>
      <c r="D11" s="135">
        <f>D13-D12</f>
        <v>15150785.998512911</v>
      </c>
      <c r="E11" s="135"/>
      <c r="F11" s="126"/>
      <c r="G11" s="126"/>
      <c r="H11" s="126"/>
      <c r="I11" s="127"/>
    </row>
    <row r="12" spans="1:13" ht="15.75" x14ac:dyDescent="0.25">
      <c r="A12" s="136" t="s">
        <v>18</v>
      </c>
      <c r="B12" s="137">
        <f>B13*PoolOverQuotaProdPerc</f>
        <v>114982.12715599999</v>
      </c>
      <c r="C12" s="137">
        <f>B12*PoolButterfatPercent</f>
        <v>4475.104388911519</v>
      </c>
      <c r="D12" s="137">
        <f>B12-C12</f>
        <v>110507.02276708846</v>
      </c>
      <c r="E12" s="135"/>
      <c r="F12" s="126"/>
      <c r="G12" s="126"/>
      <c r="H12" s="126"/>
      <c r="I12" s="127"/>
    </row>
    <row r="13" spans="1:13" ht="15.75" x14ac:dyDescent="0.25">
      <c r="A13" s="134" t="s">
        <v>19</v>
      </c>
      <c r="B13" s="135">
        <f>PoolDailyProd*DaysPerMonth</f>
        <v>15879316</v>
      </c>
      <c r="C13" s="135">
        <f>B13*PoolButterfatPercent</f>
        <v>618022.9787199999</v>
      </c>
      <c r="D13" s="135">
        <f>B13-C13</f>
        <v>15261293.02128</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13802217.116273409</v>
      </c>
      <c r="C16" s="135">
        <f>Butterfat_Production*EstClsIBFUtPerc</f>
        <v>350913.44731721602</v>
      </c>
      <c r="D16" s="135">
        <f>Skim_Production*EstClsISkimUtPerc</f>
        <v>13451303.668956192</v>
      </c>
      <c r="E16" s="140"/>
      <c r="F16" s="126"/>
      <c r="G16" s="141" t="s">
        <v>21</v>
      </c>
      <c r="H16" s="142">
        <f>EstClsIBFUtPerc</f>
        <v>0.56780000000000008</v>
      </c>
      <c r="I16" s="143">
        <f>EstClsISkimUtPerc</f>
        <v>0.88139999999999996</v>
      </c>
      <c r="M16" s="5"/>
    </row>
    <row r="17" spans="1:14" ht="15.75" x14ac:dyDescent="0.25">
      <c r="A17" s="134" t="s">
        <v>22</v>
      </c>
      <c r="B17" s="135">
        <f>SUM(C17:D17)</f>
        <v>141126.34115651195</v>
      </c>
      <c r="C17" s="135">
        <f>Butterfat_Production*EstClsIIBFUtPerc</f>
        <v>168596.668594816</v>
      </c>
      <c r="D17" s="135">
        <f>Skim_Production*EstClsIISkimUTPerc</f>
        <v>-27470.327438304044</v>
      </c>
      <c r="E17" s="140"/>
      <c r="F17" s="126"/>
      <c r="G17" s="141" t="s">
        <v>22</v>
      </c>
      <c r="H17" s="142">
        <f>EstClsIIBFUtPerc</f>
        <v>0.27280000000000004</v>
      </c>
      <c r="I17" s="143">
        <f>EstClsIISkimUTPerc</f>
        <v>-1.800000000000003E-3</v>
      </c>
      <c r="M17" s="5"/>
    </row>
    <row r="18" spans="1:14" ht="15.75" x14ac:dyDescent="0.25">
      <c r="A18" s="136" t="s">
        <v>23</v>
      </c>
      <c r="B18" s="137">
        <f>SUM(C18:D18)</f>
        <v>1935972.5425700799</v>
      </c>
      <c r="C18" s="137">
        <f>Butterfat_Production*EstClsIIIBFUtPerc</f>
        <v>98512.862807967991</v>
      </c>
      <c r="D18" s="137">
        <f>Skim_Production*EstClsIIISkimUtPerc</f>
        <v>1837459.679762112</v>
      </c>
      <c r="E18" s="140"/>
      <c r="F18" s="126"/>
      <c r="G18" s="144" t="s">
        <v>23</v>
      </c>
      <c r="H18" s="145">
        <f>EstClsIIIBFUtPerc</f>
        <v>0.15940000000000001</v>
      </c>
      <c r="I18" s="146">
        <f>EstClsIIISkimUtPerc</f>
        <v>0.12039999999999999</v>
      </c>
      <c r="M18" s="5"/>
    </row>
    <row r="19" spans="1:14" ht="15.75" x14ac:dyDescent="0.25">
      <c r="A19" s="131"/>
      <c r="B19" s="147">
        <f>SUM(B16:B18)</f>
        <v>15879316.000000002</v>
      </c>
      <c r="C19" s="147">
        <f>SUM(C16:C18)</f>
        <v>618022.97872000001</v>
      </c>
      <c r="D19" s="147">
        <f>SUM(D16:D18)</f>
        <v>15261293.02128</v>
      </c>
      <c r="E19" s="126"/>
      <c r="F19" s="126"/>
      <c r="G19" s="148" t="s">
        <v>44</v>
      </c>
      <c r="H19" s="149">
        <f>SUM(H16:H18)</f>
        <v>1.0000000000000002</v>
      </c>
      <c r="I19" s="150">
        <f>SUM(I16:I18)</f>
        <v>0.99999999999999989</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2644985.1093024435</v>
      </c>
      <c r="C22" s="159">
        <f>C16*MTClassIButterfatPrice</f>
        <v>962450.31195692846</v>
      </c>
      <c r="D22" s="159">
        <f>D16*MTClassISkimPrice</f>
        <v>1682534.7973455151</v>
      </c>
      <c r="E22" s="159"/>
      <c r="F22" s="160" t="s">
        <v>21</v>
      </c>
      <c r="G22" s="219">
        <v>21.67</v>
      </c>
      <c r="H22" s="162">
        <v>2.7427000000000001</v>
      </c>
      <c r="I22" s="220">
        <v>0.12508340000000001</v>
      </c>
    </row>
    <row r="23" spans="1:14" ht="15.75" x14ac:dyDescent="0.25">
      <c r="A23" s="158" t="s">
        <v>22</v>
      </c>
      <c r="B23" s="159">
        <f>SUM(C23:D23)</f>
        <v>456128.87391692935</v>
      </c>
      <c r="C23" s="159">
        <f>C17*MTClassIIButterfatPrice</f>
        <v>458785.25458021334</v>
      </c>
      <c r="D23" s="159">
        <f>D17*MTClassIISkimPrice</f>
        <v>-2656.380663284001</v>
      </c>
      <c r="E23" s="159"/>
      <c r="F23" s="160" t="s">
        <v>22</v>
      </c>
      <c r="G23" s="219">
        <v>18.85575</v>
      </c>
      <c r="H23" s="162">
        <v>2.7212000000000001</v>
      </c>
      <c r="I23" s="220">
        <v>9.6699999999999994E-2</v>
      </c>
    </row>
    <row r="24" spans="1:14" ht="15.75" x14ac:dyDescent="0.25">
      <c r="A24" s="164" t="s">
        <v>23</v>
      </c>
      <c r="B24" s="165">
        <f>SUM(C24:D24)</f>
        <v>438889.59634511033</v>
      </c>
      <c r="C24" s="165">
        <f>C18*MTClassIIIButterfatPrice</f>
        <v>257532.32595258992</v>
      </c>
      <c r="D24" s="165">
        <f>D18*MTClassIIISkimPrice</f>
        <v>181357.27039252044</v>
      </c>
      <c r="E24" s="159"/>
      <c r="F24" s="160" t="s">
        <v>23</v>
      </c>
      <c r="G24" s="219">
        <v>17.80575</v>
      </c>
      <c r="H24" s="162">
        <v>2.6141999999999999</v>
      </c>
      <c r="I24" s="220">
        <v>9.8699999999999996E-2</v>
      </c>
    </row>
    <row r="25" spans="1:14" ht="15.75" x14ac:dyDescent="0.25">
      <c r="A25" s="158" t="s">
        <v>119</v>
      </c>
      <c r="B25" s="159">
        <f>SUM(B22:B24)</f>
        <v>3540003.5795644834</v>
      </c>
      <c r="C25" s="159">
        <f>SUM(C22:C24)</f>
        <v>1678767.8924897318</v>
      </c>
      <c r="D25" s="159">
        <f>SUM(D22:D24)</f>
        <v>1861235.6870747514</v>
      </c>
      <c r="E25" s="159"/>
      <c r="F25" s="126"/>
      <c r="G25" s="151"/>
      <c r="H25" s="151"/>
      <c r="I25" s="152"/>
    </row>
    <row r="26" spans="1:14" ht="15.75" x14ac:dyDescent="0.25">
      <c r="A26" s="158"/>
      <c r="B26" s="159"/>
      <c r="C26" s="159"/>
      <c r="D26" s="159"/>
      <c r="E26" s="159"/>
      <c r="F26" s="126"/>
      <c r="G26" s="154" t="s">
        <v>114</v>
      </c>
      <c r="H26" s="154" t="s">
        <v>115</v>
      </c>
      <c r="I26" s="152"/>
    </row>
    <row r="27" spans="1:14" ht="15.75" x14ac:dyDescent="0.25">
      <c r="A27" s="166" t="s">
        <v>124</v>
      </c>
      <c r="B27" s="159"/>
      <c r="C27" s="159"/>
      <c r="D27" s="161">
        <f>AVERAGE(G27:H27)</f>
        <v>-48900</v>
      </c>
      <c r="E27" s="159"/>
      <c r="F27" s="126"/>
      <c r="G27" s="167">
        <v>-40500</v>
      </c>
      <c r="H27" s="168">
        <v>-57300</v>
      </c>
      <c r="I27" s="152"/>
      <c r="K27"/>
    </row>
    <row r="28" spans="1:14" ht="15.75" x14ac:dyDescent="0.25">
      <c r="A28" s="158" t="s">
        <v>121</v>
      </c>
      <c r="B28" s="159"/>
      <c r="C28" s="159"/>
      <c r="D28" s="159">
        <f>SurplusAdjustmentPckgClassI</f>
        <v>-162175.85999999999</v>
      </c>
      <c r="E28" s="159"/>
      <c r="F28" s="126"/>
      <c r="G28" s="151"/>
      <c r="H28" s="151"/>
      <c r="I28" s="152"/>
      <c r="L28" s="231"/>
      <c r="M28" s="231"/>
      <c r="N28" s="231"/>
    </row>
    <row r="29" spans="1:14" ht="15.75" x14ac:dyDescent="0.25">
      <c r="A29" s="164" t="s">
        <v>132</v>
      </c>
      <c r="B29" s="169"/>
      <c r="C29" s="169"/>
      <c r="D29" s="165">
        <f>SurplusAdjustmentBulkSales</f>
        <v>0</v>
      </c>
      <c r="E29" s="159"/>
      <c r="F29" s="126"/>
      <c r="G29" s="151"/>
      <c r="H29" s="151"/>
      <c r="I29" s="152"/>
      <c r="L29" s="231"/>
      <c r="M29" s="231"/>
      <c r="N29" s="231"/>
    </row>
    <row r="30" spans="1:14" ht="15.75" x14ac:dyDescent="0.25">
      <c r="A30" s="166" t="s">
        <v>35</v>
      </c>
      <c r="B30" s="170">
        <f>C30+D30</f>
        <v>3328927.719564483</v>
      </c>
      <c r="C30" s="170">
        <f>SUM(C25:C29)</f>
        <v>1678767.8924897318</v>
      </c>
      <c r="D30" s="170">
        <f>SUM(D25:D29)</f>
        <v>1650159.8270747513</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2.7163519000000007</v>
      </c>
      <c r="D33" s="175">
        <f>D30/Skim_Production</f>
        <v>0.10812713082527188</v>
      </c>
      <c r="E33" s="176"/>
      <c r="F33" s="160" t="s">
        <v>38</v>
      </c>
      <c r="G33" s="126"/>
      <c r="H33" s="175">
        <f>C30/Butterfat_Production</f>
        <v>2.7163519000000007</v>
      </c>
      <c r="I33" s="163">
        <f>D30/Skim_Production</f>
        <v>0.10812713082527188</v>
      </c>
    </row>
    <row r="34" spans="1:9" ht="15.75" x14ac:dyDescent="0.25">
      <c r="A34" s="164" t="s">
        <v>52</v>
      </c>
      <c r="B34" s="169"/>
      <c r="C34" s="177">
        <f>(1.5/100)*B8</f>
        <v>1.0861499999999999E-4</v>
      </c>
      <c r="D34" s="177">
        <f>(1.5/100)*B8</f>
        <v>1.0861499999999999E-4</v>
      </c>
      <c r="E34" s="178"/>
      <c r="F34" s="179" t="s">
        <v>53</v>
      </c>
      <c r="G34" s="169"/>
      <c r="H34" s="177">
        <f>-(1.5/100)*(1-B8)</f>
        <v>-1.4891384999999998E-2</v>
      </c>
      <c r="I34" s="180">
        <f>-(1.5/100)*(1-B8)</f>
        <v>-1.4891384999999998E-2</v>
      </c>
    </row>
    <row r="35" spans="1:9" ht="16.5" thickBot="1" x14ac:dyDescent="0.3">
      <c r="A35" s="181" t="s">
        <v>45</v>
      </c>
      <c r="B35" s="182"/>
      <c r="C35" s="183">
        <f>SUM(C33:C34)</f>
        <v>2.7164605150000005</v>
      </c>
      <c r="D35" s="183">
        <f>SUM(D33:D34)</f>
        <v>0.10823574582527189</v>
      </c>
      <c r="E35" s="184"/>
      <c r="F35" s="185" t="s">
        <v>46</v>
      </c>
      <c r="G35" s="182"/>
      <c r="H35" s="183">
        <f>SUM(H33:H34)</f>
        <v>2.7014605150000008</v>
      </c>
      <c r="I35" s="186">
        <f>SUM(I33:I34)</f>
        <v>9.3235745825271887E-2</v>
      </c>
    </row>
    <row r="36" spans="1:9" x14ac:dyDescent="0.25">
      <c r="G36" s="90"/>
      <c r="H36" s="90"/>
      <c r="I36" s="90"/>
    </row>
    <row r="37" spans="1:9" x14ac:dyDescent="0.25">
      <c r="A37" s="3"/>
      <c r="G37" s="90"/>
      <c r="H37" s="90"/>
      <c r="I37" s="90"/>
    </row>
    <row r="38" spans="1:9" ht="15.75" thickBot="1" x14ac:dyDescent="0.3"/>
    <row r="39" spans="1:9" ht="15.75" x14ac:dyDescent="0.25">
      <c r="A39" s="119" t="s">
        <v>123</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125</v>
      </c>
      <c r="B41" s="188" t="s">
        <v>10</v>
      </c>
      <c r="C41" s="188" t="s">
        <v>11</v>
      </c>
      <c r="D41" s="188" t="s">
        <v>12</v>
      </c>
      <c r="E41" s="133"/>
      <c r="F41" s="126"/>
      <c r="G41" s="126"/>
      <c r="H41" s="133" t="s">
        <v>26</v>
      </c>
      <c r="I41" s="139" t="s">
        <v>27</v>
      </c>
    </row>
    <row r="42" spans="1:9" ht="15.75" x14ac:dyDescent="0.25">
      <c r="A42" s="189"/>
      <c r="B42" s="190">
        <f>SUM(C42:D42)</f>
        <v>5853137.2797421049</v>
      </c>
      <c r="C42" s="190">
        <f>EstClsIPckgSurpPoolBFUtPerc*Butterfat_Production</f>
        <v>142697.17962559694</v>
      </c>
      <c r="D42" s="190">
        <f>EstClsIPckgSurpPoolSkimUtPerc*Skim_Production</f>
        <v>5710440.1001165081</v>
      </c>
      <c r="E42" s="126"/>
      <c r="G42" s="211" t="s">
        <v>129</v>
      </c>
      <c r="H42" s="142">
        <f>EstClsIPckgSurpPoolBFUtPerc</f>
        <v>0.23089299999999999</v>
      </c>
      <c r="I42" s="143">
        <f>EstClsIPckgSurpPoolSkimUtPerc</f>
        <v>0.37417800000000001</v>
      </c>
    </row>
    <row r="43" spans="1:9" ht="15.75" x14ac:dyDescent="0.25">
      <c r="A43" s="158"/>
      <c r="B43" s="192"/>
      <c r="C43" s="192"/>
      <c r="D43" s="192"/>
      <c r="E43" s="126"/>
      <c r="F43" s="160"/>
      <c r="G43" s="126"/>
      <c r="H43" s="149"/>
      <c r="I43" s="150"/>
    </row>
    <row r="44" spans="1:9" ht="31.5" x14ac:dyDescent="0.25">
      <c r="A44" s="193" t="s">
        <v>126</v>
      </c>
      <c r="B44" s="133" t="s">
        <v>10</v>
      </c>
      <c r="C44" s="192"/>
      <c r="D44" s="192"/>
      <c r="E44" s="126"/>
      <c r="F44" s="156" t="s">
        <v>120</v>
      </c>
      <c r="G44" s="126"/>
      <c r="H44" s="149"/>
      <c r="I44" s="150"/>
    </row>
    <row r="45" spans="1:9" ht="15.75" x14ac:dyDescent="0.25">
      <c r="A45" s="194" t="s">
        <v>116</v>
      </c>
      <c r="B45" s="192">
        <f>ROUND(F45*B42,0)</f>
        <v>3268965</v>
      </c>
      <c r="C45" s="192"/>
      <c r="D45" s="192"/>
      <c r="E45" s="126"/>
      <c r="F45" s="142">
        <f>PercClsIPckgSurptoContigStates</f>
        <v>0.55849799999999994</v>
      </c>
      <c r="G45" s="126"/>
      <c r="H45" s="149"/>
      <c r="I45" s="150"/>
    </row>
    <row r="46" spans="1:9" ht="15.75" x14ac:dyDescent="0.25">
      <c r="A46" s="194" t="s">
        <v>117</v>
      </c>
      <c r="B46" s="192">
        <f>B42-B45</f>
        <v>2584172.2797421049</v>
      </c>
      <c r="C46" s="192"/>
      <c r="D46" s="192"/>
      <c r="E46" s="126"/>
      <c r="F46" s="195">
        <f>1-F45</f>
        <v>0.44150200000000006</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127</v>
      </c>
      <c r="B49" s="192"/>
      <c r="C49" s="192"/>
      <c r="D49" s="192"/>
      <c r="E49" s="126"/>
      <c r="F49" s="212" t="s">
        <v>122</v>
      </c>
      <c r="G49" s="126"/>
      <c r="H49" s="149"/>
      <c r="I49" s="150"/>
    </row>
    <row r="50" spans="1:11" ht="15.75" x14ac:dyDescent="0.25">
      <c r="A50" s="194" t="s">
        <v>116</v>
      </c>
      <c r="B50" s="159">
        <f>ROUND(B45/100*F50,2)</f>
        <v>-83358.61</v>
      </c>
      <c r="C50" s="192"/>
      <c r="D50" s="192"/>
      <c r="E50" s="126"/>
      <c r="F50" s="197">
        <v>-2.5499999999999998</v>
      </c>
      <c r="G50" s="126"/>
      <c r="H50" s="149"/>
      <c r="I50" s="150"/>
    </row>
    <row r="51" spans="1:11" ht="15.75" x14ac:dyDescent="0.25">
      <c r="A51" s="198" t="s">
        <v>117</v>
      </c>
      <c r="B51" s="165">
        <f>ROUND(B46/100*F51,2)</f>
        <v>-78817.25</v>
      </c>
      <c r="C51" s="192"/>
      <c r="D51" s="192"/>
      <c r="E51" s="126"/>
      <c r="F51" s="197">
        <v>-3.05</v>
      </c>
      <c r="G51" s="126"/>
      <c r="H51" s="149"/>
      <c r="I51" s="150"/>
    </row>
    <row r="52" spans="1:11" ht="31.5" x14ac:dyDescent="0.25">
      <c r="A52" s="199" t="s">
        <v>128</v>
      </c>
      <c r="B52" s="170">
        <f>SUM(B50:B51)</f>
        <v>-162175.85999999999</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118</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130</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131</v>
      </c>
      <c r="B59" s="170">
        <f>(B56/100)*F59</f>
        <v>0</v>
      </c>
      <c r="C59" s="208"/>
      <c r="D59" s="192"/>
      <c r="E59" s="126"/>
      <c r="F59" s="161">
        <f>ROUND(K91,2)</f>
        <v>850.79</v>
      </c>
      <c r="G59" s="167">
        <f>ROUND(L91,2)</f>
        <v>850.79</v>
      </c>
      <c r="H59" s="168">
        <f>ROUND(J91,2)</f>
        <v>850.79</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143</v>
      </c>
      <c r="B67" s="229">
        <f>B7</f>
        <v>3.8919999999999996E-2</v>
      </c>
    </row>
    <row r="68" spans="1:16" hidden="1" x14ac:dyDescent="0.25">
      <c r="A68" s="1" t="s">
        <v>145</v>
      </c>
      <c r="B68" s="268">
        <v>2.7141999999999999</v>
      </c>
      <c r="C68" s="1" t="s">
        <v>198</v>
      </c>
    </row>
    <row r="69" spans="1:16" hidden="1" x14ac:dyDescent="0.25">
      <c r="A69" s="1" t="s">
        <v>146</v>
      </c>
      <c r="B69" s="268">
        <v>9.66</v>
      </c>
      <c r="C69" s="1" t="s">
        <v>198</v>
      </c>
    </row>
    <row r="70" spans="1:16" hidden="1" x14ac:dyDescent="0.25">
      <c r="A70" s="1" t="s">
        <v>144</v>
      </c>
      <c r="B70" s="268">
        <v>8.9700000000000006</v>
      </c>
      <c r="C70" s="1" t="s">
        <v>198</v>
      </c>
    </row>
    <row r="71" spans="1:16" hidden="1" x14ac:dyDescent="0.25">
      <c r="B71" s="230"/>
    </row>
    <row r="72" spans="1:16" hidden="1" x14ac:dyDescent="0.25">
      <c r="A72" t="s">
        <v>147</v>
      </c>
      <c r="B72" s="230">
        <f>MTClassIIISkimPrice</f>
        <v>9.8699999999999996E-2</v>
      </c>
    </row>
    <row r="73" spans="1:16" hidden="1" x14ac:dyDescent="0.25">
      <c r="A73" t="s">
        <v>148</v>
      </c>
      <c r="B73" s="230">
        <f>MTClassIIIButterfatPrice</f>
        <v>2.6141999999999999</v>
      </c>
    </row>
    <row r="74" spans="1:16" hidden="1" x14ac:dyDescent="0.25"/>
    <row r="75" spans="1:16" hidden="1" x14ac:dyDescent="0.25"/>
    <row r="76" spans="1:16" hidden="1" x14ac:dyDescent="0.25">
      <c r="A76" t="s">
        <v>149</v>
      </c>
      <c r="B76" s="231">
        <f>(100*B67*B68)+(100*(1-B67)*B70)</f>
        <v>872.65242640000008</v>
      </c>
    </row>
    <row r="77" spans="1:16" hidden="1" x14ac:dyDescent="0.25">
      <c r="A77" t="s">
        <v>150</v>
      </c>
      <c r="B77" s="231">
        <f>(100*B67*B73+100*(1-B67)*B72)</f>
        <v>19.660325999999998</v>
      </c>
    </row>
    <row r="78" spans="1:16" hidden="1" x14ac:dyDescent="0.25"/>
    <row r="79" spans="1:16" ht="60" hidden="1" x14ac:dyDescent="0.25">
      <c r="F79" s="232" t="s">
        <v>156</v>
      </c>
      <c r="G79" s="232" t="s">
        <v>157</v>
      </c>
      <c r="H79" s="232" t="s">
        <v>158</v>
      </c>
      <c r="J79" s="234" t="s">
        <v>159</v>
      </c>
      <c r="K79" s="239" t="s">
        <v>160</v>
      </c>
      <c r="L79" s="234" t="s">
        <v>161</v>
      </c>
      <c r="N79" s="238" t="s">
        <v>163</v>
      </c>
      <c r="O79" s="238" t="s">
        <v>162</v>
      </c>
      <c r="P79" s="238" t="s">
        <v>164</v>
      </c>
    </row>
    <row r="80" spans="1:16" hidden="1" x14ac:dyDescent="0.25">
      <c r="A80" t="s">
        <v>151</v>
      </c>
      <c r="B80" s="231">
        <f>B76</f>
        <v>872.65242640000008</v>
      </c>
    </row>
    <row r="81" spans="1:16" hidden="1" x14ac:dyDescent="0.25">
      <c r="A81" t="s">
        <v>153</v>
      </c>
      <c r="B81" s="231">
        <v>-2.2000000000000002</v>
      </c>
    </row>
    <row r="82" spans="1:16" hidden="1" x14ac:dyDescent="0.25">
      <c r="A82" s="244" t="s">
        <v>186</v>
      </c>
      <c r="B82" s="235">
        <f>-B77</f>
        <v>-19.660325999999998</v>
      </c>
    </row>
    <row r="83" spans="1:16" hidden="1" x14ac:dyDescent="0.25">
      <c r="A83" t="s">
        <v>152</v>
      </c>
      <c r="B83" s="231">
        <f>SUM(B80:B82)</f>
        <v>850.79210039999998</v>
      </c>
      <c r="F83" s="5">
        <f>N83/N$91</f>
        <v>1</v>
      </c>
      <c r="G83" s="5">
        <f>O83/O$91</f>
        <v>1</v>
      </c>
      <c r="H83" s="5">
        <f>P83/P$91</f>
        <v>1</v>
      </c>
      <c r="J83" s="231">
        <f>$B83*F83</f>
        <v>850.79210039999998</v>
      </c>
      <c r="K83" s="231">
        <f>$B83*G83</f>
        <v>850.79210039999998</v>
      </c>
      <c r="L83" s="231">
        <f>$B83*H83</f>
        <v>850.79210039999998</v>
      </c>
      <c r="N83" s="237">
        <f>O83-65000*2</f>
        <v>1088300</v>
      </c>
      <c r="O83" s="237">
        <v>1218300</v>
      </c>
      <c r="P83" s="237">
        <f>O83+65000*2</f>
        <v>1348300</v>
      </c>
    </row>
    <row r="84" spans="1:16" hidden="1" x14ac:dyDescent="0.25"/>
    <row r="85" spans="1:16" hidden="1" x14ac:dyDescent="0.25">
      <c r="A85" t="s">
        <v>187</v>
      </c>
      <c r="B85" s="233">
        <f>B77</f>
        <v>19.660325999999998</v>
      </c>
    </row>
    <row r="86" spans="1:16" hidden="1" x14ac:dyDescent="0.25">
      <c r="A86" t="s">
        <v>188</v>
      </c>
      <c r="B86" s="233">
        <v>0</v>
      </c>
    </row>
    <row r="87" spans="1:16" hidden="1" x14ac:dyDescent="0.25">
      <c r="A87" t="s">
        <v>154</v>
      </c>
      <c r="B87" s="233">
        <v>-5.43</v>
      </c>
    </row>
    <row r="88" spans="1:16" hidden="1" x14ac:dyDescent="0.25">
      <c r="A88" s="244" t="s">
        <v>186</v>
      </c>
      <c r="B88" s="235">
        <f>-B77</f>
        <v>-19.660325999999998</v>
      </c>
    </row>
    <row r="89" spans="1:16" hidden="1" x14ac:dyDescent="0.25">
      <c r="A89" t="s">
        <v>155</v>
      </c>
      <c r="B89" s="231">
        <f>SUM(B85:B88)</f>
        <v>-5.43</v>
      </c>
      <c r="F89" s="5">
        <f>N89/N$91</f>
        <v>0</v>
      </c>
      <c r="G89" s="5">
        <f t="shared" ref="G89:H89" si="0">O89/O$91</f>
        <v>0</v>
      </c>
      <c r="H89" s="5">
        <f t="shared" si="0"/>
        <v>0</v>
      </c>
      <c r="J89" s="235">
        <f>$B89*F89</f>
        <v>0</v>
      </c>
      <c r="K89" s="235">
        <f>$B89*G89</f>
        <v>0</v>
      </c>
      <c r="L89" s="235">
        <f>$B89*H89</f>
        <v>0</v>
      </c>
      <c r="N89" s="237">
        <v>0</v>
      </c>
      <c r="O89" s="237">
        <v>0</v>
      </c>
      <c r="P89" s="237">
        <v>0</v>
      </c>
    </row>
    <row r="90" spans="1:16" hidden="1" x14ac:dyDescent="0.25"/>
    <row r="91" spans="1:16" hidden="1" x14ac:dyDescent="0.25">
      <c r="F91" s="5">
        <f>SUM(F80:F89)</f>
        <v>1</v>
      </c>
      <c r="G91" s="5">
        <f>SUM(G80:G89)</f>
        <v>1</v>
      </c>
      <c r="H91" s="5">
        <f>SUM(H80:H89)</f>
        <v>1</v>
      </c>
      <c r="I91" s="236" t="s">
        <v>54</v>
      </c>
      <c r="J91" s="231">
        <f>SUM(J80:J89)</f>
        <v>850.79210039999998</v>
      </c>
      <c r="K91" s="240">
        <f>SUM(K80:K89)</f>
        <v>850.79210039999998</v>
      </c>
      <c r="L91" s="231">
        <f>SUM(L80:L89)</f>
        <v>850.79210039999998</v>
      </c>
      <c r="N91" s="237">
        <f>SUM(N80:N89)</f>
        <v>1088300</v>
      </c>
      <c r="O91" s="237">
        <f>SUM(O80:O89)</f>
        <v>1218300</v>
      </c>
      <c r="P91" s="237">
        <f>SUM(P80:P89)</f>
        <v>1348300</v>
      </c>
    </row>
  </sheetData>
  <sheetProtection algorithmName="SHA-512" hashValue="NGUnlSdaH5U+JqeRC6E1PyMyEV80IQWeLfnobrYhsme5qSWOM+8fkR3m7Y0Vf0SDCu6P7HnhwaGaWRuGz1nYtA==" saltValue="2GlQY53ZVvzy5rIpnhxyWA==" spinCount="100000" sheet="1" formatColumns="0" insertColumns="0"/>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theme="9" tint="0.39997558519241921"/>
    <pageSetUpPr fitToPage="1"/>
  </sheetPr>
  <dimension ref="A1:B66"/>
  <sheetViews>
    <sheetView workbookViewId="0">
      <selection activeCell="A31" sqref="A31:XFD68"/>
    </sheetView>
  </sheetViews>
  <sheetFormatPr defaultRowHeight="15" x14ac:dyDescent="0.25"/>
  <cols>
    <col min="1" max="1" width="85.5703125" customWidth="1"/>
    <col min="2" max="2" width="15.42578125" customWidth="1"/>
  </cols>
  <sheetData>
    <row r="1" spans="1:2" x14ac:dyDescent="0.25">
      <c r="A1" s="3" t="s">
        <v>74</v>
      </c>
    </row>
    <row r="2" spans="1:2" x14ac:dyDescent="0.25">
      <c r="A2" s="34">
        <f>Pooling_Month</f>
        <v>45839</v>
      </c>
    </row>
    <row r="4" spans="1:2" x14ac:dyDescent="0.25">
      <c r="B4" s="37" t="s">
        <v>60</v>
      </c>
    </row>
    <row r="5" spans="1:2" x14ac:dyDescent="0.25">
      <c r="A5" s="2" t="s">
        <v>50</v>
      </c>
      <c r="B5" s="33">
        <f>PoolDailyProd</f>
        <v>512236</v>
      </c>
    </row>
    <row r="6" spans="1:2" x14ac:dyDescent="0.25">
      <c r="A6" s="36" t="s">
        <v>77</v>
      </c>
      <c r="B6" s="32">
        <f>PoolButterfatPercent</f>
        <v>3.8919999999999996E-2</v>
      </c>
    </row>
    <row r="7" spans="1:2" x14ac:dyDescent="0.25">
      <c r="A7" s="2" t="s">
        <v>51</v>
      </c>
      <c r="B7" s="32">
        <f>PoolOverQuotaProdPerc</f>
        <v>7.2409999999999992E-3</v>
      </c>
    </row>
    <row r="8" spans="1:2" x14ac:dyDescent="0.25">
      <c r="B8" s="31"/>
    </row>
    <row r="9" spans="1:2" x14ac:dyDescent="0.25">
      <c r="A9" t="s">
        <v>75</v>
      </c>
      <c r="B9" s="31"/>
    </row>
    <row r="10" spans="1:2" x14ac:dyDescent="0.25">
      <c r="A10" s="35" t="s">
        <v>21</v>
      </c>
      <c r="B10" s="32">
        <f>EstClsIBFUtPerc</f>
        <v>0.56780000000000008</v>
      </c>
    </row>
    <row r="11" spans="1:2" x14ac:dyDescent="0.25">
      <c r="A11" s="35" t="s">
        <v>22</v>
      </c>
      <c r="B11" s="32">
        <f>EstClsIIBFUtPerc</f>
        <v>0.27280000000000004</v>
      </c>
    </row>
    <row r="12" spans="1:2" x14ac:dyDescent="0.25">
      <c r="A12" s="35" t="s">
        <v>23</v>
      </c>
      <c r="B12" s="38">
        <f>EstClsIIIBFUtPerc</f>
        <v>0.15940000000000001</v>
      </c>
    </row>
    <row r="13" spans="1:2" x14ac:dyDescent="0.25">
      <c r="B13" s="32">
        <f>SUM(B10:B12)</f>
        <v>1.0000000000000002</v>
      </c>
    </row>
    <row r="14" spans="1:2" x14ac:dyDescent="0.25">
      <c r="B14" s="31"/>
    </row>
    <row r="15" spans="1:2" x14ac:dyDescent="0.25">
      <c r="A15" t="s">
        <v>76</v>
      </c>
      <c r="B15" s="31"/>
    </row>
    <row r="16" spans="1:2" x14ac:dyDescent="0.25">
      <c r="A16" s="35" t="s">
        <v>21</v>
      </c>
      <c r="B16" s="32">
        <f>EstClsISkimUtPerc</f>
        <v>0.88139999999999996</v>
      </c>
    </row>
    <row r="17" spans="1:2" x14ac:dyDescent="0.25">
      <c r="A17" s="35" t="s">
        <v>22</v>
      </c>
      <c r="B17" s="32">
        <f>EstClsIISkimUTPerc</f>
        <v>-1.800000000000003E-3</v>
      </c>
    </row>
    <row r="18" spans="1:2" x14ac:dyDescent="0.25">
      <c r="A18" s="35" t="s">
        <v>23</v>
      </c>
      <c r="B18" s="38">
        <f>EstClsIIISkimUtPerc</f>
        <v>0.12039999999999999</v>
      </c>
    </row>
    <row r="19" spans="1:2" x14ac:dyDescent="0.25">
      <c r="B19" s="32">
        <f>SUM(B16:B18)</f>
        <v>0.99999999999999989</v>
      </c>
    </row>
    <row r="20" spans="1:2" x14ac:dyDescent="0.25">
      <c r="B20" s="32"/>
    </row>
    <row r="21" spans="1:2" ht="15.75" x14ac:dyDescent="0.25">
      <c r="A21" s="213" t="s">
        <v>141</v>
      </c>
      <c r="B21" s="39">
        <f>'Quota Price Estimator'!D27</f>
        <v>-48900</v>
      </c>
    </row>
    <row r="22" spans="1:2" x14ac:dyDescent="0.25">
      <c r="B22" s="31"/>
    </row>
    <row r="23" spans="1:2" x14ac:dyDescent="0.25">
      <c r="A23" t="s">
        <v>133</v>
      </c>
      <c r="B23" s="32">
        <f>EstClsIPckgSurpPoolBFUtPerc</f>
        <v>0.23089299999999999</v>
      </c>
    </row>
    <row r="24" spans="1:2" x14ac:dyDescent="0.25">
      <c r="A24" t="s">
        <v>134</v>
      </c>
      <c r="B24" s="32">
        <f>EstClsIPckgSurpPoolSkimUtPerc</f>
        <v>0.37417800000000001</v>
      </c>
    </row>
    <row r="25" spans="1:2" x14ac:dyDescent="0.25">
      <c r="B25" s="31"/>
    </row>
    <row r="26" spans="1:2" x14ac:dyDescent="0.25">
      <c r="A26" t="s">
        <v>136</v>
      </c>
      <c r="B26" s="32">
        <f>PercClsIPckgSurptoContigStates</f>
        <v>0.55849799999999994</v>
      </c>
    </row>
    <row r="27" spans="1:2" x14ac:dyDescent="0.25">
      <c r="B27" s="31"/>
    </row>
    <row r="28" spans="1:2" x14ac:dyDescent="0.25">
      <c r="A28" s="214" t="s">
        <v>139</v>
      </c>
      <c r="B28" s="32">
        <f>EstBulkSurpPoolMilkUtPerc</f>
        <v>0</v>
      </c>
    </row>
    <row r="29" spans="1:2" x14ac:dyDescent="0.25">
      <c r="B29" s="31"/>
    </row>
    <row r="30" spans="1:2" x14ac:dyDescent="0.25">
      <c r="A30" t="s">
        <v>142</v>
      </c>
      <c r="B30" s="39">
        <f>'Quota Price Estimator'!F59</f>
        <v>850.79</v>
      </c>
    </row>
    <row r="32" spans="1:2" hidden="1" x14ac:dyDescent="0.25"/>
    <row r="33" spans="1:2" hidden="1" x14ac:dyDescent="0.25"/>
    <row r="34" spans="1:2" ht="30" hidden="1" x14ac:dyDescent="0.25">
      <c r="B34" s="4" t="s">
        <v>185</v>
      </c>
    </row>
    <row r="35" spans="1:2" hidden="1" x14ac:dyDescent="0.25">
      <c r="A35" t="s">
        <v>167</v>
      </c>
      <c r="B35" s="247">
        <f>'Dairy Revenue Estimator'!B9</f>
        <v>19.95236127463874</v>
      </c>
    </row>
    <row r="36" spans="1:2" hidden="1" x14ac:dyDescent="0.25">
      <c r="A36" t="s">
        <v>168</v>
      </c>
      <c r="B36" s="248">
        <f>'Dairy Revenue Estimator'!C9</f>
        <v>2.7164605150000005</v>
      </c>
    </row>
    <row r="37" spans="1:2" hidden="1" x14ac:dyDescent="0.25">
      <c r="A37" t="s">
        <v>169</v>
      </c>
      <c r="B37" s="248">
        <f>'Dairy Revenue Estimator'!D9</f>
        <v>0.10823574582527189</v>
      </c>
    </row>
    <row r="38" spans="1:2" hidden="1" x14ac:dyDescent="0.25">
      <c r="B38" s="245"/>
    </row>
    <row r="39" spans="1:2" hidden="1" x14ac:dyDescent="0.25">
      <c r="A39" t="s">
        <v>19</v>
      </c>
      <c r="B39" s="249">
        <f>'Quota Price Estimator'!B13</f>
        <v>15879316</v>
      </c>
    </row>
    <row r="40" spans="1:2" hidden="1" x14ac:dyDescent="0.25">
      <c r="B40" s="245"/>
    </row>
    <row r="41" spans="1:2" hidden="1" x14ac:dyDescent="0.25">
      <c r="A41" t="s">
        <v>170</v>
      </c>
      <c r="B41" s="250">
        <f>'Quota Price Estimator'!B7</f>
        <v>3.8919999999999996E-2</v>
      </c>
    </row>
    <row r="42" spans="1:2" hidden="1" x14ac:dyDescent="0.25">
      <c r="B42" s="246"/>
    </row>
    <row r="43" spans="1:2" hidden="1" x14ac:dyDescent="0.25">
      <c r="A43" t="s">
        <v>171</v>
      </c>
      <c r="B43" s="250">
        <f>'Quota Price Estimator'!B8</f>
        <v>7.2409999999999992E-3</v>
      </c>
    </row>
    <row r="44" spans="1:2" hidden="1" x14ac:dyDescent="0.25">
      <c r="B44" s="245"/>
    </row>
    <row r="45" spans="1:2" hidden="1" x14ac:dyDescent="0.25">
      <c r="A45" t="s">
        <v>172</v>
      </c>
      <c r="B45" s="251">
        <f>'Quota Price Estimator'!H16</f>
        <v>0.56780000000000008</v>
      </c>
    </row>
    <row r="46" spans="1:2" hidden="1" x14ac:dyDescent="0.25">
      <c r="A46" t="s">
        <v>173</v>
      </c>
      <c r="B46" s="251">
        <f>'Quota Price Estimator'!H17</f>
        <v>0.27280000000000004</v>
      </c>
    </row>
    <row r="47" spans="1:2" hidden="1" x14ac:dyDescent="0.25">
      <c r="A47" t="s">
        <v>174</v>
      </c>
      <c r="B47" s="251">
        <f>'Quota Price Estimator'!H18</f>
        <v>0.15940000000000001</v>
      </c>
    </row>
    <row r="48" spans="1:2" hidden="1" x14ac:dyDescent="0.25">
      <c r="B48" s="246"/>
    </row>
    <row r="49" spans="1:2" hidden="1" x14ac:dyDescent="0.25">
      <c r="A49" t="s">
        <v>175</v>
      </c>
      <c r="B49" s="251">
        <f>'Quota Price Estimator'!I16</f>
        <v>0.88139999999999996</v>
      </c>
    </row>
    <row r="50" spans="1:2" hidden="1" x14ac:dyDescent="0.25">
      <c r="A50" t="s">
        <v>176</v>
      </c>
      <c r="B50" s="251">
        <f>'Quota Price Estimator'!I17</f>
        <v>-1.800000000000003E-3</v>
      </c>
    </row>
    <row r="51" spans="1:2" hidden="1" x14ac:dyDescent="0.25">
      <c r="A51" t="s">
        <v>177</v>
      </c>
      <c r="B51" s="251">
        <f>'Quota Price Estimator'!I18</f>
        <v>0.12039999999999999</v>
      </c>
    </row>
    <row r="52" spans="1:2" hidden="1" x14ac:dyDescent="0.25">
      <c r="B52" s="245"/>
    </row>
    <row r="53" spans="1:2" hidden="1" x14ac:dyDescent="0.25">
      <c r="A53" t="s">
        <v>178</v>
      </c>
      <c r="B53" s="252">
        <f>ROUND('Quota Price Estimator'!B42/100,2)</f>
        <v>58531.37</v>
      </c>
    </row>
    <row r="54" spans="1:2" hidden="1" x14ac:dyDescent="0.25">
      <c r="A54" t="s">
        <v>179</v>
      </c>
      <c r="B54" s="253">
        <f>SurplusAdjustmentPckgClassI</f>
        <v>-162175.85999999999</v>
      </c>
    </row>
    <row r="55" spans="1:2" hidden="1" x14ac:dyDescent="0.25">
      <c r="B55" s="245"/>
    </row>
    <row r="56" spans="1:2" hidden="1" x14ac:dyDescent="0.25">
      <c r="A56" t="s">
        <v>180</v>
      </c>
      <c r="B56" s="252">
        <f>ROUND('Quota Price Estimator'!B56/100,2)</f>
        <v>0</v>
      </c>
    </row>
    <row r="57" spans="1:2" hidden="1" x14ac:dyDescent="0.25">
      <c r="A57" t="s">
        <v>181</v>
      </c>
      <c r="B57" s="253">
        <f>'Quota Price Estimator'!F59</f>
        <v>850.79</v>
      </c>
    </row>
    <row r="58" spans="1:2" hidden="1" x14ac:dyDescent="0.25">
      <c r="A58" t="s">
        <v>182</v>
      </c>
      <c r="B58" s="253">
        <f>SurplusAdjustmentBulkSales</f>
        <v>0</v>
      </c>
    </row>
    <row r="59" spans="1:2" hidden="1" x14ac:dyDescent="0.25">
      <c r="B59" s="245"/>
    </row>
    <row r="60" spans="1:2" hidden="1" x14ac:dyDescent="0.25">
      <c r="A60" t="s">
        <v>183</v>
      </c>
      <c r="B60" s="253">
        <f>'Quota Price Estimator'!D27</f>
        <v>-48900</v>
      </c>
    </row>
    <row r="61" spans="1:2" hidden="1" x14ac:dyDescent="0.25">
      <c r="B61" s="245"/>
    </row>
    <row r="62" spans="1:2" hidden="1" x14ac:dyDescent="0.25">
      <c r="A62" s="40" t="s">
        <v>184</v>
      </c>
      <c r="B62" s="253">
        <f>'Quota Price Estimator'!B30</f>
        <v>3328927.719564483</v>
      </c>
    </row>
    <row r="63" spans="1:2" hidden="1" x14ac:dyDescent="0.25"/>
    <row r="64" spans="1:2" hidden="1" x14ac:dyDescent="0.25"/>
    <row r="65" hidden="1" x14ac:dyDescent="0.25"/>
    <row r="66" hidden="1" x14ac:dyDescent="0.25"/>
  </sheetData>
  <sheetProtection algorithmName="SHA-512" hashValue="kfslz6GV/tjc+JinKrecXe9knQuJS3Lz29UJwHYoYuyjwhbrlTviO57EWi0fIYmfjP1n+yufjfDXcA8mjszo2A==" saltValue="26XoO+/4GuvalPMaiXMnzA==" spinCount="100000" sheet="1" objects="1" scenarios="1"/>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9"/>
  <sheetViews>
    <sheetView topLeftCell="A123" workbookViewId="0">
      <selection activeCell="A126" sqref="A126:XFD136"/>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8" max="8" width="10.140625" bestFit="1"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P2" s="215"/>
      <c r="Q2" s="215"/>
      <c r="R2" s="215"/>
      <c r="U2" s="215"/>
      <c r="V2" s="215"/>
      <c r="W2" s="215"/>
    </row>
    <row r="3" spans="1:23" hidden="1"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c r="M3" s="216" t="s">
        <v>212</v>
      </c>
    </row>
    <row r="4" spans="1:23" hidden="1"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hidden="1"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hidden="1"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hidden="1"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hidden="1"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hidden="1"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hidden="1"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hidden="1"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hidden="1"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hidden="1"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hidden="1"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hidden="1"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hidden="1"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hidden="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hidden="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hidden="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hidden="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hidden="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hidden="1" x14ac:dyDescent="0.25">
      <c r="A22" s="14">
        <v>42856</v>
      </c>
      <c r="B22" s="13">
        <v>0.4178</v>
      </c>
      <c r="C22" s="13">
        <v>0.12809999999999999</v>
      </c>
      <c r="D22" s="13">
        <v>0.4541</v>
      </c>
      <c r="E22" s="13">
        <f t="shared" si="0"/>
        <v>1</v>
      </c>
      <c r="G22" s="15"/>
      <c r="H22" s="13"/>
      <c r="I22" s="13"/>
      <c r="J22" s="13">
        <v>0.1188</v>
      </c>
      <c r="K22" s="13">
        <f t="shared" si="1"/>
        <v>0.1188</v>
      </c>
    </row>
    <row r="23" spans="1:11" hidden="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hidden="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hidden="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hidden="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hidden="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hidden="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hidden="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hidden="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hidden="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hidden="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hidden="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hidden="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hidden="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hidden="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hidden="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hidden="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hidden="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hidden="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hidden="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hidden="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hidden="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hidden="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hidden="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hidden="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hidden="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hidden="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hidden="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hidden="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hidden="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hidden="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hidden="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hidden="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hidden="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hidden="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hidden="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hidden="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hidden="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hidden="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hidden="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hidden="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hidden="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hidden="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hidden="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18" si="9">SUM(B96:D96)</f>
        <v>1</v>
      </c>
      <c r="G96" s="15">
        <v>45108</v>
      </c>
      <c r="H96" s="13">
        <v>0.90710000000000002</v>
      </c>
      <c r="I96" s="13">
        <v>3.9800000000000002E-2</v>
      </c>
      <c r="J96" s="13">
        <v>5.3100000000000001E-2</v>
      </c>
      <c r="K96" s="13">
        <f t="shared" ref="K96:K118"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v>45505</v>
      </c>
      <c r="B109" s="13">
        <v>0.56100000000000005</v>
      </c>
      <c r="C109" s="13">
        <v>0.1847</v>
      </c>
      <c r="D109" s="13">
        <v>0.25430000000000003</v>
      </c>
      <c r="E109" s="13">
        <f t="shared" si="9"/>
        <v>1</v>
      </c>
      <c r="G109" s="15">
        <v>45505</v>
      </c>
      <c r="H109" s="13">
        <v>0.89570000000000005</v>
      </c>
      <c r="I109" s="13">
        <v>3.3399999999999999E-2</v>
      </c>
      <c r="J109" s="13">
        <v>7.0900000000000005E-2</v>
      </c>
      <c r="K109" s="13">
        <f t="shared" si="10"/>
        <v>1</v>
      </c>
    </row>
    <row r="110" spans="1:11" x14ac:dyDescent="0.25">
      <c r="A110" s="14">
        <v>45536</v>
      </c>
      <c r="B110" s="13">
        <v>0.54449999999999998</v>
      </c>
      <c r="C110" s="13">
        <v>0.15310000000000001</v>
      </c>
      <c r="D110" s="13">
        <v>0.3024</v>
      </c>
      <c r="E110" s="13">
        <f t="shared" si="9"/>
        <v>1</v>
      </c>
      <c r="G110" s="15">
        <v>45536</v>
      </c>
      <c r="H110" s="13">
        <f>91.26%+0.01%</f>
        <v>0.91270000000000007</v>
      </c>
      <c r="I110" s="13">
        <v>1.11E-2</v>
      </c>
      <c r="J110" s="13">
        <v>7.6200000000000004E-2</v>
      </c>
      <c r="K110" s="13">
        <f t="shared" si="10"/>
        <v>1</v>
      </c>
    </row>
    <row r="111" spans="1:11" x14ac:dyDescent="0.25">
      <c r="A111" s="14">
        <v>45566</v>
      </c>
      <c r="B111" s="13">
        <v>0.53769999999999996</v>
      </c>
      <c r="C111" s="13">
        <v>0.15260000000000001</v>
      </c>
      <c r="D111" s="13">
        <v>0.30969999999999998</v>
      </c>
      <c r="E111" s="13">
        <f t="shared" si="9"/>
        <v>0.99999999999999989</v>
      </c>
      <c r="G111" s="15">
        <v>45566</v>
      </c>
      <c r="H111" s="13">
        <v>0.91930000000000001</v>
      </c>
      <c r="I111" s="13">
        <v>7.7999999999999996E-3</v>
      </c>
      <c r="J111" s="13">
        <v>7.2900000000000006E-2</v>
      </c>
      <c r="K111" s="13">
        <f t="shared" si="10"/>
        <v>1</v>
      </c>
    </row>
    <row r="112" spans="1:11" x14ac:dyDescent="0.25">
      <c r="A112" s="14">
        <v>45597</v>
      </c>
      <c r="B112" s="13">
        <v>0.52959999999999996</v>
      </c>
      <c r="C112" s="13">
        <v>0.108</v>
      </c>
      <c r="D112" s="13">
        <v>0.3624</v>
      </c>
      <c r="E112" s="13">
        <f t="shared" si="9"/>
        <v>1</v>
      </c>
      <c r="G112" s="15">
        <v>45597</v>
      </c>
      <c r="H112" s="13">
        <v>0.91920000000000002</v>
      </c>
      <c r="I112" s="13">
        <v>2.5000000000000001E-3</v>
      </c>
      <c r="J112" s="13">
        <v>7.8299999999999995E-2</v>
      </c>
      <c r="K112" s="13">
        <f t="shared" si="10"/>
        <v>1</v>
      </c>
    </row>
    <row r="113" spans="1:17" x14ac:dyDescent="0.25">
      <c r="A113" s="14">
        <v>45627</v>
      </c>
      <c r="B113" s="13">
        <f>54.53%+0.01%</f>
        <v>0.5454</v>
      </c>
      <c r="C113" s="13">
        <v>9.5200000000000007E-2</v>
      </c>
      <c r="D113" s="13">
        <v>0.3594</v>
      </c>
      <c r="E113" s="13">
        <f t="shared" si="9"/>
        <v>1</v>
      </c>
      <c r="G113" s="15">
        <v>45627</v>
      </c>
      <c r="H113" s="13">
        <v>0.91449999999999998</v>
      </c>
      <c r="I113" s="13">
        <v>0</v>
      </c>
      <c r="J113" s="13">
        <v>8.5500000000000007E-2</v>
      </c>
      <c r="K113" s="13">
        <f t="shared" si="10"/>
        <v>1</v>
      </c>
    </row>
    <row r="114" spans="1:17" x14ac:dyDescent="0.25">
      <c r="A114" s="14">
        <v>45658</v>
      </c>
      <c r="B114" s="13">
        <v>0.53890000000000005</v>
      </c>
      <c r="C114" s="13">
        <v>8.9300000000000004E-2</v>
      </c>
      <c r="D114" s="13">
        <v>0.37180000000000002</v>
      </c>
      <c r="E114" s="13">
        <f t="shared" si="9"/>
        <v>1</v>
      </c>
      <c r="G114" s="15">
        <v>45658</v>
      </c>
      <c r="H114" s="13">
        <v>0.94099999999999995</v>
      </c>
      <c r="I114" s="13">
        <v>0</v>
      </c>
      <c r="J114" s="13">
        <v>5.8999999999999997E-2</v>
      </c>
      <c r="K114" s="13">
        <f t="shared" si="10"/>
        <v>1</v>
      </c>
    </row>
    <row r="115" spans="1:17" x14ac:dyDescent="0.25">
      <c r="A115" s="14">
        <v>45689</v>
      </c>
      <c r="B115" s="13">
        <f>52.01%+0.01%</f>
        <v>0.5202</v>
      </c>
      <c r="C115" s="13">
        <v>0.1028</v>
      </c>
      <c r="D115" s="13">
        <v>0.377</v>
      </c>
      <c r="E115" s="13">
        <f t="shared" si="9"/>
        <v>1</v>
      </c>
      <c r="G115" s="15">
        <v>45689</v>
      </c>
      <c r="H115" s="13">
        <v>0.91849999999999998</v>
      </c>
      <c r="I115" s="13">
        <v>1.29E-2</v>
      </c>
      <c r="J115" s="13">
        <v>6.8599999999999994E-2</v>
      </c>
      <c r="K115" s="13">
        <f t="shared" si="10"/>
        <v>1</v>
      </c>
    </row>
    <row r="116" spans="1:17" x14ac:dyDescent="0.25">
      <c r="A116" s="14">
        <v>45717</v>
      </c>
      <c r="B116" s="13">
        <v>0.46820000000000001</v>
      </c>
      <c r="C116" s="13">
        <v>0.13969999999999999</v>
      </c>
      <c r="D116" s="13">
        <v>0.3921</v>
      </c>
      <c r="E116" s="13">
        <f t="shared" si="9"/>
        <v>1</v>
      </c>
      <c r="G116" s="15">
        <v>45717</v>
      </c>
      <c r="H116" s="13">
        <f>83.56%+0.01%</f>
        <v>0.8357</v>
      </c>
      <c r="I116" s="13">
        <v>3.0700000000000002E-2</v>
      </c>
      <c r="J116" s="13">
        <v>0.1336</v>
      </c>
      <c r="K116" s="13">
        <f t="shared" si="10"/>
        <v>1</v>
      </c>
    </row>
    <row r="117" spans="1:17" x14ac:dyDescent="0.25">
      <c r="A117" s="14">
        <v>45748</v>
      </c>
      <c r="B117" s="13">
        <v>0.50600000000000001</v>
      </c>
      <c r="C117" s="13">
        <v>0.17299999999999999</v>
      </c>
      <c r="D117" s="13">
        <v>0.32100000000000001</v>
      </c>
      <c r="E117" s="13">
        <f t="shared" si="9"/>
        <v>1</v>
      </c>
      <c r="G117" s="15">
        <v>45748</v>
      </c>
      <c r="H117" s="13">
        <v>0.84389999999999998</v>
      </c>
      <c r="I117" s="13">
        <v>2.4899999999999999E-2</v>
      </c>
      <c r="J117" s="13">
        <v>0.13120000000000001</v>
      </c>
      <c r="K117" s="13">
        <f t="shared" si="10"/>
        <v>1</v>
      </c>
    </row>
    <row r="118" spans="1:17" x14ac:dyDescent="0.25">
      <c r="A118" s="14">
        <v>45778</v>
      </c>
      <c r="B118" s="13">
        <v>0.51370000000000005</v>
      </c>
      <c r="C118" s="13">
        <v>0.18440000000000001</v>
      </c>
      <c r="D118" s="13">
        <v>0.3019</v>
      </c>
      <c r="E118" s="13">
        <f t="shared" si="9"/>
        <v>1</v>
      </c>
      <c r="G118" s="15">
        <v>45778</v>
      </c>
      <c r="H118" s="13">
        <v>0.874</v>
      </c>
      <c r="I118" s="13">
        <v>1.5699999999999999E-2</v>
      </c>
      <c r="J118" s="13">
        <v>0.1103</v>
      </c>
      <c r="K118" s="13">
        <f t="shared" si="10"/>
        <v>1</v>
      </c>
    </row>
    <row r="119" spans="1:17" x14ac:dyDescent="0.25">
      <c r="A119" s="14"/>
      <c r="B119" s="13"/>
      <c r="C119" s="13"/>
      <c r="D119" s="13"/>
      <c r="E119" s="13"/>
      <c r="G119" s="15"/>
      <c r="H119" s="13"/>
      <c r="I119" s="13"/>
      <c r="J119" s="13"/>
      <c r="K119" s="13"/>
    </row>
    <row r="120" spans="1:17" x14ac:dyDescent="0.25">
      <c r="A120" s="14"/>
      <c r="B120" s="13"/>
      <c r="C120" s="13"/>
      <c r="D120" s="13"/>
      <c r="E120" s="13"/>
      <c r="G120" s="15"/>
      <c r="H120" s="13"/>
      <c r="I120" s="13"/>
      <c r="J120" s="13"/>
      <c r="K120" s="13"/>
    </row>
    <row r="121" spans="1:17" x14ac:dyDescent="0.25">
      <c r="A121" s="14"/>
      <c r="B121" s="13"/>
      <c r="C121" s="13"/>
      <c r="D121" s="13"/>
      <c r="E121" s="13"/>
      <c r="G121" s="15"/>
      <c r="H121" s="13"/>
      <c r="I121" s="13"/>
      <c r="J121" s="13"/>
      <c r="K121" s="13"/>
    </row>
    <row r="122" spans="1:17" x14ac:dyDescent="0.25">
      <c r="A122" s="16" t="s">
        <v>62</v>
      </c>
      <c r="B122" s="17"/>
      <c r="C122" s="17"/>
      <c r="D122" s="17"/>
      <c r="E122" s="17"/>
      <c r="G122" s="16" t="s">
        <v>61</v>
      </c>
      <c r="H122" s="19"/>
      <c r="I122" s="19"/>
      <c r="J122" s="19"/>
      <c r="K122" s="19"/>
    </row>
    <row r="123" spans="1:17" x14ac:dyDescent="0.25">
      <c r="A123" s="27">
        <f>Pooling_Month</f>
        <v>45839</v>
      </c>
      <c r="B123" s="28" t="s">
        <v>21</v>
      </c>
      <c r="C123" s="28" t="s">
        <v>22</v>
      </c>
      <c r="D123" s="28" t="s">
        <v>23</v>
      </c>
      <c r="E123" s="28" t="s">
        <v>54</v>
      </c>
      <c r="G123" s="27">
        <f>Pooling_Month</f>
        <v>45839</v>
      </c>
      <c r="H123" s="28" t="s">
        <v>21</v>
      </c>
      <c r="I123" s="28" t="s">
        <v>22</v>
      </c>
      <c r="J123" s="28" t="s">
        <v>23</v>
      </c>
      <c r="K123" s="28" t="s">
        <v>54</v>
      </c>
      <c r="P123" s="100" t="s">
        <v>165</v>
      </c>
      <c r="Q123" s="100" t="s">
        <v>166</v>
      </c>
    </row>
    <row r="124" spans="1:17" x14ac:dyDescent="0.25">
      <c r="A124" s="31" t="s">
        <v>60</v>
      </c>
      <c r="B124" s="32">
        <v>0.56780000000000008</v>
      </c>
      <c r="C124" s="32">
        <v>0.27280000000000004</v>
      </c>
      <c r="D124" s="32">
        <v>0.15940000000000001</v>
      </c>
      <c r="E124" s="13">
        <f>SUM(B124:D124)</f>
        <v>1.0000000000000002</v>
      </c>
      <c r="G124" s="31" t="s">
        <v>60</v>
      </c>
      <c r="H124" s="32">
        <v>0.88139999999999996</v>
      </c>
      <c r="I124" s="32">
        <v>-1.800000000000003E-3</v>
      </c>
      <c r="J124" s="32">
        <v>0.12039999999999999</v>
      </c>
      <c r="K124" s="13">
        <f>SUM(H124:J124)</f>
        <v>0.99999999999999989</v>
      </c>
      <c r="M124" s="30"/>
      <c r="O124" s="99"/>
      <c r="P124" s="13">
        <f>1-E124</f>
        <v>0</v>
      </c>
      <c r="Q124" s="227">
        <f>1-K124</f>
        <v>0</v>
      </c>
    </row>
    <row r="126" spans="1:17" ht="15.75" hidden="1" customHeight="1" x14ac:dyDescent="0.25">
      <c r="L126" t="s">
        <v>197</v>
      </c>
      <c r="M126" s="100"/>
      <c r="N126" s="100"/>
      <c r="O126" s="100"/>
      <c r="P126" s="100"/>
      <c r="Q126" s="100"/>
    </row>
    <row r="127" spans="1:17" hidden="1" x14ac:dyDescent="0.25">
      <c r="A127" s="40" t="s">
        <v>213</v>
      </c>
      <c r="B127" s="13">
        <f>B108-B106</f>
        <v>5.4100000000000037E-2</v>
      </c>
      <c r="C127" s="13">
        <f t="shared" ref="C127:K127" si="11">C108-C106</f>
        <v>8.8400000000000006E-2</v>
      </c>
      <c r="D127" s="13">
        <f t="shared" si="11"/>
        <v>-0.14249999999999999</v>
      </c>
      <c r="E127" s="13">
        <f t="shared" si="11"/>
        <v>0</v>
      </c>
      <c r="F127" s="13"/>
      <c r="G127" s="13"/>
      <c r="H127" s="13">
        <f t="shared" si="11"/>
        <v>7.3999999999999622E-3</v>
      </c>
      <c r="I127" s="13">
        <f t="shared" si="11"/>
        <v>-1.7500000000000002E-2</v>
      </c>
      <c r="J127" s="13">
        <f t="shared" si="11"/>
        <v>1.0099999999999998E-2</v>
      </c>
      <c r="K127" s="13">
        <f t="shared" si="11"/>
        <v>0</v>
      </c>
      <c r="M127" s="30"/>
      <c r="O127" s="99"/>
      <c r="Q127" s="30"/>
    </row>
    <row r="128" spans="1:17" ht="15.75" hidden="1" customHeight="1" x14ac:dyDescent="0.25">
      <c r="A128" s="93" t="s">
        <v>214</v>
      </c>
      <c r="B128" s="13">
        <f>B118</f>
        <v>0.51370000000000005</v>
      </c>
      <c r="C128" s="13">
        <f t="shared" ref="C128:K128" si="12">C118</f>
        <v>0.18440000000000001</v>
      </c>
      <c r="D128" s="13">
        <f t="shared" si="12"/>
        <v>0.3019</v>
      </c>
      <c r="E128" s="13">
        <f t="shared" si="12"/>
        <v>1</v>
      </c>
      <c r="F128" s="13"/>
      <c r="G128" s="13"/>
      <c r="H128" s="13">
        <f t="shared" si="12"/>
        <v>0.874</v>
      </c>
      <c r="I128" s="13">
        <f t="shared" si="12"/>
        <v>1.5699999999999999E-2</v>
      </c>
      <c r="J128" s="13">
        <f t="shared" si="12"/>
        <v>0.1103</v>
      </c>
      <c r="K128" s="13">
        <f t="shared" si="12"/>
        <v>1</v>
      </c>
      <c r="M128" s="30">
        <f>C128/I128</f>
        <v>11.745222929936308</v>
      </c>
      <c r="N128" s="228"/>
      <c r="O128" s="99">
        <f>C128/I128</f>
        <v>11.745222929936308</v>
      </c>
      <c r="Q128" s="30"/>
    </row>
    <row r="129" spans="1:17" hidden="1" x14ac:dyDescent="0.25">
      <c r="A129" s="269" t="s">
        <v>203</v>
      </c>
      <c r="B129" s="257">
        <f>SUM(B127:B128)</f>
        <v>0.56780000000000008</v>
      </c>
      <c r="C129" s="257">
        <f t="shared" ref="C129:D129" si="13">SUM(C127:C128)</f>
        <v>0.27280000000000004</v>
      </c>
      <c r="D129" s="257">
        <f t="shared" si="13"/>
        <v>0.15940000000000001</v>
      </c>
      <c r="E129" s="13">
        <f t="shared" ref="E129:K129" si="14">SUM(E127:E128)</f>
        <v>1</v>
      </c>
      <c r="F129" s="257"/>
      <c r="G129" s="257"/>
      <c r="H129" s="257">
        <f t="shared" si="14"/>
        <v>0.88139999999999996</v>
      </c>
      <c r="I129" s="257">
        <f t="shared" si="14"/>
        <v>-1.800000000000003E-3</v>
      </c>
      <c r="J129" s="257">
        <f t="shared" si="14"/>
        <v>0.12039999999999999</v>
      </c>
      <c r="K129" s="13">
        <f t="shared" si="14"/>
        <v>1</v>
      </c>
      <c r="M129" s="30">
        <f>C129/I129</f>
        <v>-151.55555555555532</v>
      </c>
      <c r="O129" s="99">
        <f>C129/I129</f>
        <v>-151.55555555555532</v>
      </c>
      <c r="Q129" s="30"/>
    </row>
    <row r="130" spans="1:17" hidden="1" x14ac:dyDescent="0.25">
      <c r="A130" s="92" t="s">
        <v>204</v>
      </c>
      <c r="B130" s="13">
        <f>B108</f>
        <v>0.57640000000000002</v>
      </c>
      <c r="C130" s="13">
        <f t="shared" ref="C130:K130" si="15">C108</f>
        <v>0.22989999999999999</v>
      </c>
      <c r="D130" s="13">
        <f t="shared" si="15"/>
        <v>0.19370000000000001</v>
      </c>
      <c r="E130" s="13">
        <f t="shared" si="15"/>
        <v>1</v>
      </c>
      <c r="F130" s="13"/>
      <c r="G130" s="13"/>
      <c r="H130" s="13">
        <f t="shared" si="15"/>
        <v>0.90510000000000002</v>
      </c>
      <c r="I130" s="13">
        <f t="shared" si="15"/>
        <v>1.2699999999999999E-2</v>
      </c>
      <c r="J130" s="13">
        <f t="shared" si="15"/>
        <v>8.2199999999999995E-2</v>
      </c>
      <c r="K130" s="13">
        <f t="shared" si="15"/>
        <v>1</v>
      </c>
      <c r="M130" s="30">
        <f>C130/I130</f>
        <v>18.102362204724411</v>
      </c>
      <c r="N130" s="228"/>
      <c r="O130" s="99">
        <f>C130/I130</f>
        <v>18.102362204724411</v>
      </c>
      <c r="Q130" s="30"/>
    </row>
    <row r="131" spans="1:17" hidden="1" x14ac:dyDescent="0.25">
      <c r="A131" t="s">
        <v>83</v>
      </c>
      <c r="B131" s="257">
        <f>AVERAGE(B129:B130)</f>
        <v>0.57210000000000005</v>
      </c>
      <c r="C131" s="257">
        <f t="shared" ref="C131:D131" si="16">AVERAGE(C129:C130)</f>
        <v>0.25135000000000002</v>
      </c>
      <c r="D131" s="257">
        <f t="shared" si="16"/>
        <v>0.17655000000000001</v>
      </c>
      <c r="E131" s="13">
        <f t="shared" ref="E131:J131" si="17">AVERAGE(E129:E130)</f>
        <v>1</v>
      </c>
      <c r="F131" s="257"/>
      <c r="G131" s="257"/>
      <c r="H131" s="257">
        <f t="shared" si="17"/>
        <v>0.89324999999999999</v>
      </c>
      <c r="I131" s="257">
        <f t="shared" si="17"/>
        <v>5.4499999999999982E-3</v>
      </c>
      <c r="J131" s="257">
        <f t="shared" si="17"/>
        <v>0.1013</v>
      </c>
      <c r="K131" s="13">
        <f>AVERAGE(K129:K130)</f>
        <v>1</v>
      </c>
      <c r="L131" s="257"/>
      <c r="M131" s="30"/>
      <c r="O131" s="99"/>
      <c r="Q131" s="30"/>
    </row>
    <row r="132" spans="1:17" hidden="1" x14ac:dyDescent="0.25">
      <c r="E132" s="13"/>
      <c r="K132" s="13"/>
    </row>
    <row r="133" spans="1:17" hidden="1" x14ac:dyDescent="0.25">
      <c r="A133" s="92" t="s">
        <v>205</v>
      </c>
      <c r="B133" s="13">
        <f>B96</f>
        <v>0.54820000000000002</v>
      </c>
      <c r="C133" s="13">
        <f t="shared" ref="C133:D133" si="18">C95</f>
        <v>0.1671</v>
      </c>
      <c r="D133" s="13">
        <f t="shared" si="18"/>
        <v>0.24879999999999999</v>
      </c>
      <c r="E133" s="13">
        <f t="shared" ref="E133" si="19">E94</f>
        <v>1</v>
      </c>
      <c r="F133" s="13"/>
      <c r="G133" s="13"/>
      <c r="H133" s="13">
        <f>H95</f>
        <v>0.92320000000000002</v>
      </c>
      <c r="I133" s="13">
        <f t="shared" ref="I133:K133" si="20">I95</f>
        <v>2.07E-2</v>
      </c>
      <c r="J133" s="13">
        <f t="shared" si="20"/>
        <v>5.6099999999999997E-2</v>
      </c>
      <c r="K133" s="13">
        <f t="shared" si="20"/>
        <v>1</v>
      </c>
      <c r="M133" s="30">
        <f>C133/I133</f>
        <v>8.0724637681159415</v>
      </c>
      <c r="N133" s="228"/>
      <c r="O133" s="99">
        <f>C133/I133</f>
        <v>8.0724637681159415</v>
      </c>
    </row>
    <row r="134" spans="1:17" hidden="1" x14ac:dyDescent="0.25">
      <c r="A134" s="91" t="s">
        <v>206</v>
      </c>
      <c r="B134" s="13">
        <f>B83</f>
        <v>0.52400000000000002</v>
      </c>
      <c r="C134" s="13">
        <f t="shared" ref="C134:D134" si="21">C82</f>
        <v>0.14595303861631487</v>
      </c>
      <c r="D134" s="13">
        <f t="shared" si="21"/>
        <v>0.31837879174101452</v>
      </c>
      <c r="E134" s="13">
        <f t="shared" ref="E134" si="22">E81</f>
        <v>1</v>
      </c>
      <c r="F134" s="13"/>
      <c r="G134" s="13"/>
      <c r="H134" s="13">
        <f>H82</f>
        <v>0.91682180594541129</v>
      </c>
      <c r="I134" s="13">
        <f t="shared" ref="I134:K134" si="23">I82</f>
        <v>2.4701741828381755E-2</v>
      </c>
      <c r="J134" s="13">
        <f t="shared" si="23"/>
        <v>5.8476452226206975E-2</v>
      </c>
      <c r="K134" s="13">
        <f t="shared" si="23"/>
        <v>1</v>
      </c>
      <c r="M134" s="30">
        <f>C134/I134</f>
        <v>5.9086132318255409</v>
      </c>
      <c r="N134" s="228"/>
      <c r="O134" s="99">
        <f>C134/I134</f>
        <v>5.9086132318255409</v>
      </c>
    </row>
    <row r="135" spans="1:17" hidden="1" x14ac:dyDescent="0.25">
      <c r="A135" s="40" t="s">
        <v>207</v>
      </c>
      <c r="B135" s="13">
        <f>AVERAGE(B129,B130,B133,B134)</f>
        <v>0.55410000000000004</v>
      </c>
      <c r="C135" s="13">
        <f t="shared" ref="C135:D135" si="24">AVERAGE(C129,C130,C133,C134)</f>
        <v>0.20393825965407875</v>
      </c>
      <c r="D135" s="13">
        <f t="shared" si="24"/>
        <v>0.23006969793525361</v>
      </c>
      <c r="E135" s="13">
        <f t="shared" ref="E135:K135" si="25">AVERAGE(E129,E130,E133,E134)</f>
        <v>1</v>
      </c>
      <c r="F135" s="13"/>
      <c r="G135" s="13"/>
      <c r="H135" s="13">
        <f t="shared" si="25"/>
        <v>0.9066304514863528</v>
      </c>
      <c r="I135" s="13">
        <f t="shared" si="25"/>
        <v>1.4075435457095439E-2</v>
      </c>
      <c r="J135" s="13">
        <f t="shared" si="25"/>
        <v>7.9294113056551735E-2</v>
      </c>
      <c r="K135" s="13">
        <f t="shared" si="25"/>
        <v>1</v>
      </c>
    </row>
    <row r="136" spans="1:17" hidden="1" x14ac:dyDescent="0.25">
      <c r="A136" s="40" t="s">
        <v>208</v>
      </c>
      <c r="B136" s="13">
        <f>AVERAGE(B129,B130,B133)</f>
        <v>0.56413333333333338</v>
      </c>
      <c r="C136" s="13">
        <f t="shared" ref="C136:D136" si="26">AVERAGE(C129,C130,C133)</f>
        <v>0.2232666666666667</v>
      </c>
      <c r="D136" s="13">
        <f t="shared" si="26"/>
        <v>0.20063333333333333</v>
      </c>
      <c r="E136" s="13">
        <f t="shared" ref="E136:K136" si="27">AVERAGE(E129,E130,E133)</f>
        <v>1</v>
      </c>
      <c r="F136" s="13"/>
      <c r="G136" s="13"/>
      <c r="H136" s="13">
        <f t="shared" si="27"/>
        <v>0.90323333333333322</v>
      </c>
      <c r="I136" s="13">
        <f t="shared" si="27"/>
        <v>1.0533333333333332E-2</v>
      </c>
      <c r="J136" s="13">
        <f t="shared" si="27"/>
        <v>8.6233333333333329E-2</v>
      </c>
      <c r="K136" s="13">
        <f t="shared" si="27"/>
        <v>1</v>
      </c>
    </row>
    <row r="139" spans="1:17" x14ac:dyDescent="0.25">
      <c r="B139" s="227"/>
    </row>
  </sheetData>
  <sheetProtection algorithmName="SHA-512" hashValue="ACCKrGxBDAuhX5LPefOXl5nf8K+X4NT1KXkYxMTlFykFISiOzx3NLd4HBW/Kvwm3P0Y9VosvQ4wogB7T9DgqDg==" saltValue="ljPF4BStxinZY8kdWxvt6Q=="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theme="9" tint="0.39997558519241921"/>
  </sheetPr>
  <dimension ref="A1:E158"/>
  <sheetViews>
    <sheetView topLeftCell="A143" workbookViewId="0">
      <selection activeCell="A147" sqref="A147:XFD157"/>
    </sheetView>
  </sheetViews>
  <sheetFormatPr defaultRowHeight="15" x14ac:dyDescent="0.25"/>
  <cols>
    <col min="1" max="1" width="28.28515625" customWidth="1"/>
    <col min="2" max="2" width="16" customWidth="1"/>
  </cols>
  <sheetData>
    <row r="1" spans="1:2" ht="45" x14ac:dyDescent="0.25">
      <c r="A1" s="20" t="s">
        <v>0</v>
      </c>
      <c r="B1" s="20" t="s">
        <v>66</v>
      </c>
    </row>
    <row r="2" spans="1:2" hidden="1" x14ac:dyDescent="0.25">
      <c r="A2" s="14">
        <v>41579</v>
      </c>
      <c r="B2" s="98">
        <v>3.9271E-2</v>
      </c>
    </row>
    <row r="3" spans="1:2" hidden="1" x14ac:dyDescent="0.25">
      <c r="A3" s="14">
        <v>41609</v>
      </c>
      <c r="B3" s="98">
        <v>3.8972E-2</v>
      </c>
    </row>
    <row r="4" spans="1:2" hidden="1" x14ac:dyDescent="0.25">
      <c r="A4" s="14">
        <v>41640</v>
      </c>
      <c r="B4" s="98">
        <v>3.8156000000000002E-2</v>
      </c>
    </row>
    <row r="5" spans="1:2" hidden="1" x14ac:dyDescent="0.25">
      <c r="A5" s="14">
        <v>41671</v>
      </c>
      <c r="B5" s="98">
        <v>3.8137999999999998E-2</v>
      </c>
    </row>
    <row r="6" spans="1:2" hidden="1" x14ac:dyDescent="0.25">
      <c r="A6" s="14">
        <v>41699</v>
      </c>
      <c r="B6" s="98">
        <v>3.8086000000000002E-2</v>
      </c>
    </row>
    <row r="7" spans="1:2" hidden="1" x14ac:dyDescent="0.25">
      <c r="A7" s="14">
        <v>41730</v>
      </c>
      <c r="B7" s="98">
        <v>3.7533999999999998E-2</v>
      </c>
    </row>
    <row r="8" spans="1:2" hidden="1" x14ac:dyDescent="0.25">
      <c r="A8" s="14">
        <v>41760</v>
      </c>
      <c r="B8" s="98">
        <v>3.6961000000000001E-2</v>
      </c>
    </row>
    <row r="9" spans="1:2" hidden="1" x14ac:dyDescent="0.25">
      <c r="A9" s="14">
        <v>41791</v>
      </c>
      <c r="B9" s="98">
        <v>3.6642000000000001E-2</v>
      </c>
    </row>
    <row r="10" spans="1:2" hidden="1" x14ac:dyDescent="0.25">
      <c r="A10" s="14">
        <v>41821</v>
      </c>
      <c r="B10" s="98">
        <v>3.6463000000000002E-2</v>
      </c>
    </row>
    <row r="11" spans="1:2" hidden="1" x14ac:dyDescent="0.25">
      <c r="A11" s="14">
        <v>41852</v>
      </c>
      <c r="B11" s="98">
        <v>3.6629000000000002E-2</v>
      </c>
    </row>
    <row r="12" spans="1:2" hidden="1" x14ac:dyDescent="0.25">
      <c r="A12" s="14">
        <v>41883</v>
      </c>
      <c r="B12" s="98">
        <v>3.7984999999999998E-2</v>
      </c>
    </row>
    <row r="13" spans="1:2" hidden="1" x14ac:dyDescent="0.25">
      <c r="A13" s="14">
        <v>41913</v>
      </c>
      <c r="B13" s="98">
        <v>3.8191000000000003E-2</v>
      </c>
    </row>
    <row r="14" spans="1:2" hidden="1" x14ac:dyDescent="0.25">
      <c r="A14" s="14">
        <v>41944</v>
      </c>
      <c r="B14" s="98">
        <v>3.8389E-2</v>
      </c>
    </row>
    <row r="15" spans="1:2" hidden="1" x14ac:dyDescent="0.25">
      <c r="A15" s="14">
        <v>41974</v>
      </c>
      <c r="B15" s="98">
        <v>3.8198999999999997E-2</v>
      </c>
    </row>
    <row r="16" spans="1:2" hidden="1" x14ac:dyDescent="0.25">
      <c r="A16" s="14">
        <v>42005</v>
      </c>
      <c r="B16" s="98">
        <v>3.7596999999999998E-2</v>
      </c>
    </row>
    <row r="17" spans="1:2" hidden="1" x14ac:dyDescent="0.25">
      <c r="A17" s="14">
        <v>42036</v>
      </c>
      <c r="B17" s="98">
        <v>3.6916999999999998E-2</v>
      </c>
    </row>
    <row r="18" spans="1:2" hidden="1" x14ac:dyDescent="0.25">
      <c r="A18" s="14">
        <v>42064</v>
      </c>
      <c r="B18" s="98">
        <v>3.7019000000000003E-2</v>
      </c>
    </row>
    <row r="19" spans="1:2" hidden="1" x14ac:dyDescent="0.25">
      <c r="A19" s="14">
        <v>42095</v>
      </c>
      <c r="B19" s="98">
        <v>3.7094000000000002E-2</v>
      </c>
    </row>
    <row r="20" spans="1:2" hidden="1" x14ac:dyDescent="0.25">
      <c r="A20" s="14">
        <v>42125</v>
      </c>
      <c r="B20" s="98">
        <v>3.6919E-2</v>
      </c>
    </row>
    <row r="21" spans="1:2" hidden="1" x14ac:dyDescent="0.25">
      <c r="A21" s="14">
        <v>42156</v>
      </c>
      <c r="B21" s="98">
        <v>3.6407000000000002E-2</v>
      </c>
    </row>
    <row r="22" spans="1:2" hidden="1" x14ac:dyDescent="0.25">
      <c r="A22" s="14">
        <v>42186</v>
      </c>
      <c r="B22" s="98">
        <v>3.6199000000000002E-2</v>
      </c>
    </row>
    <row r="23" spans="1:2" hidden="1" x14ac:dyDescent="0.25">
      <c r="A23" s="14">
        <v>42217</v>
      </c>
      <c r="B23" s="98">
        <v>3.6469000000000001E-2</v>
      </c>
    </row>
    <row r="24" spans="1:2" hidden="1" x14ac:dyDescent="0.25">
      <c r="A24" s="14">
        <v>42248</v>
      </c>
      <c r="B24" s="98">
        <v>3.7427000000000002E-2</v>
      </c>
    </row>
    <row r="25" spans="1:2" hidden="1" x14ac:dyDescent="0.25">
      <c r="A25" s="14">
        <v>42278</v>
      </c>
      <c r="B25" s="98">
        <v>3.7672999999999998E-2</v>
      </c>
    </row>
    <row r="26" spans="1:2" hidden="1" x14ac:dyDescent="0.25">
      <c r="A26" s="14">
        <v>42309</v>
      </c>
      <c r="B26" s="98">
        <v>3.8150000000000003E-2</v>
      </c>
    </row>
    <row r="27" spans="1:2" hidden="1" x14ac:dyDescent="0.25">
      <c r="A27" s="14">
        <v>42339</v>
      </c>
      <c r="B27" s="98">
        <v>3.8186999999999999E-2</v>
      </c>
    </row>
    <row r="28" spans="1:2" hidden="1" x14ac:dyDescent="0.25">
      <c r="A28" s="14">
        <v>42370</v>
      </c>
      <c r="B28" s="98">
        <v>3.7734999999999998E-2</v>
      </c>
    </row>
    <row r="29" spans="1:2" hidden="1" x14ac:dyDescent="0.25">
      <c r="A29" s="14">
        <v>42401</v>
      </c>
      <c r="B29" s="98">
        <v>3.7315000000000001E-2</v>
      </c>
    </row>
    <row r="30" spans="1:2" hidden="1" x14ac:dyDescent="0.25">
      <c r="A30" s="14">
        <v>42430</v>
      </c>
      <c r="B30" s="98">
        <v>3.7400999999999997E-2</v>
      </c>
    </row>
    <row r="31" spans="1:2" hidden="1" x14ac:dyDescent="0.25">
      <c r="A31" s="14">
        <v>42461</v>
      </c>
      <c r="B31" s="98">
        <v>3.721E-2</v>
      </c>
    </row>
    <row r="32" spans="1:2" hidden="1" x14ac:dyDescent="0.25">
      <c r="A32" s="14">
        <v>42491</v>
      </c>
      <c r="B32" s="98">
        <v>3.6662E-2</v>
      </c>
    </row>
    <row r="33" spans="1:2" hidden="1" x14ac:dyDescent="0.25">
      <c r="A33" s="14">
        <v>42522</v>
      </c>
      <c r="B33" s="98">
        <v>3.6234000000000002E-2</v>
      </c>
    </row>
    <row r="34" spans="1:2" hidden="1" x14ac:dyDescent="0.25">
      <c r="A34" s="14">
        <v>42552</v>
      </c>
      <c r="B34" s="98">
        <v>3.6160999999999999E-2</v>
      </c>
    </row>
    <row r="35" spans="1:2" hidden="1" x14ac:dyDescent="0.25">
      <c r="A35" s="14">
        <v>42583</v>
      </c>
      <c r="B35" s="98">
        <v>3.6685000000000002E-2</v>
      </c>
    </row>
    <row r="36" spans="1:2" hidden="1" x14ac:dyDescent="0.25">
      <c r="A36" s="14">
        <v>42614</v>
      </c>
      <c r="B36" s="98">
        <v>3.7725000000000002E-2</v>
      </c>
    </row>
    <row r="37" spans="1:2" hidden="1" x14ac:dyDescent="0.25">
      <c r="A37" s="14">
        <v>42644</v>
      </c>
      <c r="B37" s="25">
        <v>3.8245000000000001E-2</v>
      </c>
    </row>
    <row r="38" spans="1:2" hidden="1" x14ac:dyDescent="0.25">
      <c r="A38" s="14">
        <v>42675</v>
      </c>
      <c r="B38" s="25">
        <v>3.8296999999999998E-2</v>
      </c>
    </row>
    <row r="39" spans="1:2" hidden="1" x14ac:dyDescent="0.25">
      <c r="A39" s="14">
        <v>42705</v>
      </c>
      <c r="B39" s="25">
        <v>3.8397000000000001E-2</v>
      </c>
    </row>
    <row r="40" spans="1:2" hidden="1" x14ac:dyDescent="0.25">
      <c r="A40" s="14">
        <v>42736</v>
      </c>
      <c r="B40" s="25">
        <v>3.7935000000000003E-2</v>
      </c>
    </row>
    <row r="41" spans="1:2" hidden="1" x14ac:dyDescent="0.25">
      <c r="A41" s="14">
        <v>42767</v>
      </c>
      <c r="B41" s="25">
        <v>3.7583999999999999E-2</v>
      </c>
    </row>
    <row r="42" spans="1:2" hidden="1" x14ac:dyDescent="0.25">
      <c r="A42" s="14">
        <v>42795</v>
      </c>
      <c r="B42" s="25">
        <v>3.7379000000000003E-2</v>
      </c>
    </row>
    <row r="43" spans="1:2" hidden="1" x14ac:dyDescent="0.25">
      <c r="A43" s="14">
        <v>42826</v>
      </c>
      <c r="B43" s="25">
        <v>3.7352000000000003E-2</v>
      </c>
    </row>
    <row r="44" spans="1:2" hidden="1" x14ac:dyDescent="0.25">
      <c r="A44" s="14">
        <v>42856</v>
      </c>
      <c r="B44" s="25">
        <v>3.7032000000000002E-2</v>
      </c>
    </row>
    <row r="45" spans="1:2" hidden="1" x14ac:dyDescent="0.25">
      <c r="A45" s="14">
        <v>42887</v>
      </c>
      <c r="B45" s="25">
        <v>3.6415000000000003E-2</v>
      </c>
    </row>
    <row r="46" spans="1:2" hidden="1" x14ac:dyDescent="0.25">
      <c r="A46" s="14">
        <v>42917</v>
      </c>
      <c r="B46" s="25">
        <v>3.6141E-2</v>
      </c>
    </row>
    <row r="47" spans="1:2" hidden="1" x14ac:dyDescent="0.25">
      <c r="A47" s="14">
        <v>42948</v>
      </c>
      <c r="B47" s="25">
        <v>3.6865000000000002E-2</v>
      </c>
    </row>
    <row r="48" spans="1:2" hidden="1" x14ac:dyDescent="0.25">
      <c r="A48" s="14">
        <v>42979</v>
      </c>
      <c r="B48" s="25">
        <v>3.7662000000000001E-2</v>
      </c>
    </row>
    <row r="49" spans="1:2" hidden="1" x14ac:dyDescent="0.25">
      <c r="A49" s="14">
        <v>43009</v>
      </c>
      <c r="B49" s="25">
        <v>3.8712999999999997E-2</v>
      </c>
    </row>
    <row r="50" spans="1:2" hidden="1" x14ac:dyDescent="0.25">
      <c r="A50" s="14">
        <v>43040</v>
      </c>
      <c r="B50" s="25">
        <v>3.8952000000000001E-2</v>
      </c>
    </row>
    <row r="51" spans="1:2" hidden="1" x14ac:dyDescent="0.25">
      <c r="A51" s="14">
        <v>43070</v>
      </c>
      <c r="B51" s="25">
        <v>3.8628000000000003E-2</v>
      </c>
    </row>
    <row r="52" spans="1:2" hidden="1" x14ac:dyDescent="0.25">
      <c r="A52" s="14">
        <v>43101</v>
      </c>
      <c r="B52" s="25">
        <v>3.8381999999999999E-2</v>
      </c>
    </row>
    <row r="53" spans="1:2" hidden="1" x14ac:dyDescent="0.25">
      <c r="A53" s="14">
        <v>43132</v>
      </c>
      <c r="B53" s="25">
        <v>3.8116999999999998E-2</v>
      </c>
    </row>
    <row r="54" spans="1:2" hidden="1" x14ac:dyDescent="0.25">
      <c r="A54" s="14">
        <v>43160</v>
      </c>
      <c r="B54" s="25">
        <v>3.8272E-2</v>
      </c>
    </row>
    <row r="55" spans="1:2" hidden="1" x14ac:dyDescent="0.25">
      <c r="A55" s="14">
        <v>43191</v>
      </c>
      <c r="B55" s="25">
        <v>3.8038000000000002E-2</v>
      </c>
    </row>
    <row r="56" spans="1:2" hidden="1" x14ac:dyDescent="0.25">
      <c r="A56" s="14">
        <v>43221</v>
      </c>
      <c r="B56" s="25">
        <v>3.7435999999999997E-2</v>
      </c>
    </row>
    <row r="57" spans="1:2" hidden="1" x14ac:dyDescent="0.25">
      <c r="A57" s="14">
        <v>43252</v>
      </c>
      <c r="B57" s="25">
        <v>3.6787E-2</v>
      </c>
    </row>
    <row r="58" spans="1:2" hidden="1" x14ac:dyDescent="0.25">
      <c r="A58" s="14">
        <v>43282</v>
      </c>
      <c r="B58" s="25">
        <v>3.6815000000000001E-2</v>
      </c>
    </row>
    <row r="59" spans="1:2" hidden="1" x14ac:dyDescent="0.25">
      <c r="A59" s="14">
        <v>43313</v>
      </c>
      <c r="B59" s="25">
        <v>3.7021999999999999E-2</v>
      </c>
    </row>
    <row r="60" spans="1:2" hidden="1" x14ac:dyDescent="0.25">
      <c r="A60" s="14">
        <v>43344</v>
      </c>
      <c r="B60" s="25">
        <v>3.8191000000000003E-2</v>
      </c>
    </row>
    <row r="61" spans="1:2" hidden="1" x14ac:dyDescent="0.25">
      <c r="A61" s="14">
        <v>43374</v>
      </c>
      <c r="B61" s="25">
        <v>3.9246000000000003E-2</v>
      </c>
    </row>
    <row r="62" spans="1:2" hidden="1" x14ac:dyDescent="0.25">
      <c r="A62" s="14">
        <v>43405</v>
      </c>
      <c r="B62" s="25">
        <v>3.9052999999999997E-2</v>
      </c>
    </row>
    <row r="63" spans="1:2" hidden="1" x14ac:dyDescent="0.25">
      <c r="A63" s="14">
        <v>43435</v>
      </c>
      <c r="B63" s="25">
        <v>3.8817999999999998E-2</v>
      </c>
    </row>
    <row r="64" spans="1:2" hidden="1" x14ac:dyDescent="0.25">
      <c r="A64" s="14">
        <v>43466</v>
      </c>
      <c r="B64" s="25">
        <v>3.8342000000000001E-2</v>
      </c>
    </row>
    <row r="65" spans="1:2" hidden="1" x14ac:dyDescent="0.25">
      <c r="A65" s="14">
        <v>43497</v>
      </c>
      <c r="B65" s="25">
        <v>3.8463999999999998E-2</v>
      </c>
    </row>
    <row r="66" spans="1:2" hidden="1" x14ac:dyDescent="0.25">
      <c r="A66" s="14">
        <v>43525</v>
      </c>
      <c r="B66" s="25">
        <v>3.8568999999999999E-2</v>
      </c>
    </row>
    <row r="67" spans="1:2" hidden="1" x14ac:dyDescent="0.25">
      <c r="A67" s="14">
        <v>43556</v>
      </c>
      <c r="B67" s="25">
        <v>3.7928000000000003E-2</v>
      </c>
    </row>
    <row r="68" spans="1:2" hidden="1" x14ac:dyDescent="0.25">
      <c r="A68" s="14">
        <v>43586</v>
      </c>
      <c r="B68" s="25">
        <v>3.7678000000000003E-2</v>
      </c>
    </row>
    <row r="69" spans="1:2" hidden="1" x14ac:dyDescent="0.25">
      <c r="A69" s="14">
        <v>43617</v>
      </c>
      <c r="B69" s="25">
        <v>3.6981E-2</v>
      </c>
    </row>
    <row r="70" spans="1:2" hidden="1" x14ac:dyDescent="0.25">
      <c r="A70" s="14">
        <v>43647</v>
      </c>
      <c r="B70" s="25">
        <v>3.6919E-2</v>
      </c>
    </row>
    <row r="71" spans="1:2" hidden="1" x14ac:dyDescent="0.25">
      <c r="A71" s="14">
        <v>43678</v>
      </c>
      <c r="B71" s="25">
        <v>3.7192000000000003E-2</v>
      </c>
    </row>
    <row r="72" spans="1:2" hidden="1" x14ac:dyDescent="0.25">
      <c r="A72" s="14">
        <v>43709</v>
      </c>
      <c r="B72" s="25">
        <v>3.8346999999999999E-2</v>
      </c>
    </row>
    <row r="73" spans="1:2" hidden="1" x14ac:dyDescent="0.25">
      <c r="A73" s="14">
        <v>43739</v>
      </c>
      <c r="B73" s="25">
        <v>3.9694E-2</v>
      </c>
    </row>
    <row r="74" spans="1:2" hidden="1" x14ac:dyDescent="0.25">
      <c r="A74" s="14">
        <v>43770</v>
      </c>
      <c r="B74" s="25">
        <v>3.9497999999999998E-2</v>
      </c>
    </row>
    <row r="75" spans="1:2" hidden="1" x14ac:dyDescent="0.25">
      <c r="A75" s="14">
        <v>43800</v>
      </c>
      <c r="B75" s="25">
        <v>3.9086000000000003E-2</v>
      </c>
    </row>
    <row r="76" spans="1:2" hidden="1" x14ac:dyDescent="0.25">
      <c r="A76" s="14">
        <v>43831</v>
      </c>
      <c r="B76" s="25">
        <v>3.8771E-2</v>
      </c>
    </row>
    <row r="77" spans="1:2" hidden="1" x14ac:dyDescent="0.25">
      <c r="A77" s="14">
        <v>43862</v>
      </c>
      <c r="B77" s="25">
        <v>3.866E-2</v>
      </c>
    </row>
    <row r="78" spans="1:2" hidden="1" x14ac:dyDescent="0.25">
      <c r="A78" s="14">
        <v>43891</v>
      </c>
      <c r="B78" s="25">
        <v>3.8552999999999997E-2</v>
      </c>
    </row>
    <row r="79" spans="1:2" hidden="1" x14ac:dyDescent="0.25">
      <c r="A79" s="14">
        <v>43922</v>
      </c>
      <c r="B79" s="25">
        <v>3.8244E-2</v>
      </c>
    </row>
    <row r="80" spans="1:2" hidden="1" x14ac:dyDescent="0.25">
      <c r="A80" s="14">
        <v>43952</v>
      </c>
      <c r="B80" s="25">
        <v>3.7574000000000003E-2</v>
      </c>
    </row>
    <row r="81" spans="1:2" hidden="1" x14ac:dyDescent="0.25">
      <c r="A81" s="14">
        <v>43983</v>
      </c>
      <c r="B81" s="25">
        <v>3.7144000000000003E-2</v>
      </c>
    </row>
    <row r="82" spans="1:2" hidden="1" x14ac:dyDescent="0.25">
      <c r="A82" s="14">
        <v>44013</v>
      </c>
      <c r="B82" s="25">
        <v>3.6516E-2</v>
      </c>
    </row>
    <row r="83" spans="1:2" hidden="1" x14ac:dyDescent="0.25">
      <c r="A83" s="14">
        <v>44044</v>
      </c>
      <c r="B83" s="25">
        <v>3.6880000000000003E-2</v>
      </c>
    </row>
    <row r="84" spans="1:2" hidden="1" x14ac:dyDescent="0.25">
      <c r="A84" s="14">
        <v>44075</v>
      </c>
      <c r="B84" s="25">
        <v>3.8349000000000001E-2</v>
      </c>
    </row>
    <row r="85" spans="1:2" hidden="1" x14ac:dyDescent="0.25">
      <c r="A85" s="14">
        <v>44105</v>
      </c>
      <c r="B85" s="25">
        <v>3.9593000000000003E-2</v>
      </c>
    </row>
    <row r="86" spans="1:2" hidden="1" x14ac:dyDescent="0.25">
      <c r="A86" s="14">
        <v>44136</v>
      </c>
      <c r="B86" s="25">
        <v>3.9933000000000003E-2</v>
      </c>
    </row>
    <row r="87" spans="1:2" hidden="1"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2" x14ac:dyDescent="0.25">
      <c r="A129" s="14">
        <v>45444</v>
      </c>
      <c r="B129" s="25">
        <v>3.9065999999999997E-2</v>
      </c>
    </row>
    <row r="130" spans="1:2" x14ac:dyDescent="0.25">
      <c r="A130" s="14">
        <v>45474</v>
      </c>
      <c r="B130" s="25">
        <v>3.8640000000000001E-2</v>
      </c>
    </row>
    <row r="131" spans="1:2" x14ac:dyDescent="0.25">
      <c r="A131" s="14">
        <v>45505</v>
      </c>
      <c r="B131" s="25">
        <v>3.8317999999999998E-2</v>
      </c>
    </row>
    <row r="132" spans="1:2" x14ac:dyDescent="0.25">
      <c r="A132" s="14">
        <v>45536</v>
      </c>
      <c r="B132" s="25">
        <v>3.9378000000000003E-2</v>
      </c>
    </row>
    <row r="133" spans="1:2" x14ac:dyDescent="0.25">
      <c r="A133" s="14">
        <v>45566</v>
      </c>
      <c r="B133" s="25">
        <v>4.0328999999999997E-2</v>
      </c>
    </row>
    <row r="134" spans="1:2" x14ac:dyDescent="0.25">
      <c r="A134" s="14">
        <v>45597</v>
      </c>
      <c r="B134" s="25">
        <v>4.0876999999999997E-2</v>
      </c>
    </row>
    <row r="135" spans="1:2" x14ac:dyDescent="0.25">
      <c r="A135" s="14">
        <v>45627</v>
      </c>
      <c r="B135" s="25">
        <v>4.0756000000000001E-2</v>
      </c>
    </row>
    <row r="136" spans="1:2" x14ac:dyDescent="0.25">
      <c r="A136" s="14">
        <v>45658</v>
      </c>
      <c r="B136" s="25">
        <v>4.0280000000000003E-2</v>
      </c>
    </row>
    <row r="137" spans="1:2" x14ac:dyDescent="0.25">
      <c r="A137" s="14">
        <v>45689</v>
      </c>
      <c r="B137" s="25">
        <v>4.0393999999999999E-2</v>
      </c>
    </row>
    <row r="138" spans="1:2" x14ac:dyDescent="0.25">
      <c r="A138" s="14">
        <v>45717</v>
      </c>
      <c r="B138" s="25">
        <v>4.0131E-2</v>
      </c>
    </row>
    <row r="139" spans="1:2" x14ac:dyDescent="0.25">
      <c r="A139" s="14">
        <v>45748</v>
      </c>
      <c r="B139" s="25">
        <v>4.0289999999999999E-2</v>
      </c>
    </row>
    <row r="140" spans="1:2" x14ac:dyDescent="0.25">
      <c r="A140" s="14">
        <v>45778</v>
      </c>
      <c r="B140" s="25">
        <v>3.9844999999999998E-2</v>
      </c>
    </row>
    <row r="141" spans="1:2" x14ac:dyDescent="0.25">
      <c r="A141" s="14"/>
      <c r="B141" s="25"/>
    </row>
    <row r="142" spans="1:2" x14ac:dyDescent="0.25">
      <c r="A142" s="14"/>
      <c r="B142" s="25"/>
    </row>
    <row r="143" spans="1:2" x14ac:dyDescent="0.25">
      <c r="A143" s="261"/>
      <c r="B143" s="25"/>
    </row>
    <row r="144" spans="1:2" ht="45" x14ac:dyDescent="0.25">
      <c r="A144" s="27">
        <f>Pooling_Month</f>
        <v>45839</v>
      </c>
      <c r="B144" s="20" t="s">
        <v>65</v>
      </c>
    </row>
    <row r="145" spans="1:5" ht="14.1" customHeight="1" x14ac:dyDescent="0.25">
      <c r="A145" s="31" t="s">
        <v>60</v>
      </c>
      <c r="B145" s="32">
        <v>3.8919999999999996E-2</v>
      </c>
    </row>
    <row r="147" spans="1:5" ht="14.25" hidden="1" customHeight="1" x14ac:dyDescent="0.25">
      <c r="E147" t="s">
        <v>192</v>
      </c>
    </row>
    <row r="148" spans="1:5" hidden="1" x14ac:dyDescent="0.25">
      <c r="A148" s="40" t="s">
        <v>213</v>
      </c>
      <c r="B148" s="25">
        <f>B130-B128</f>
        <v>-9.2500000000000221E-4</v>
      </c>
    </row>
    <row r="149" spans="1:5" hidden="1" x14ac:dyDescent="0.25">
      <c r="A149" s="93" t="s">
        <v>214</v>
      </c>
      <c r="B149" s="25">
        <f>B140</f>
        <v>3.9844999999999998E-2</v>
      </c>
    </row>
    <row r="150" spans="1:5" hidden="1" x14ac:dyDescent="0.25">
      <c r="A150" s="269" t="s">
        <v>209</v>
      </c>
      <c r="B150" s="25">
        <f>SUM(B148:B149)</f>
        <v>3.8919999999999996E-2</v>
      </c>
    </row>
    <row r="151" spans="1:5" hidden="1" x14ac:dyDescent="0.25">
      <c r="A151" s="92" t="s">
        <v>204</v>
      </c>
      <c r="B151" s="25">
        <f>B131</f>
        <v>3.8317999999999998E-2</v>
      </c>
    </row>
    <row r="152" spans="1:5" hidden="1" x14ac:dyDescent="0.25">
      <c r="A152" t="s">
        <v>83</v>
      </c>
      <c r="B152" s="25">
        <f>AVERAGE(B150:B151)</f>
        <v>3.8619000000000001E-2</v>
      </c>
    </row>
    <row r="153" spans="1:5" hidden="1" x14ac:dyDescent="0.25">
      <c r="B153" s="25"/>
    </row>
    <row r="154" spans="1:5" hidden="1" x14ac:dyDescent="0.25">
      <c r="A154" s="92" t="s">
        <v>205</v>
      </c>
      <c r="B154" s="25">
        <f>B119</f>
        <v>3.8273000000000001E-2</v>
      </c>
    </row>
    <row r="155" spans="1:5" hidden="1" x14ac:dyDescent="0.25">
      <c r="A155" s="91" t="s">
        <v>206</v>
      </c>
      <c r="B155" s="25">
        <f>B107</f>
        <v>3.7207999999999998E-2</v>
      </c>
    </row>
    <row r="156" spans="1:5" hidden="1" x14ac:dyDescent="0.25">
      <c r="A156" s="40" t="s">
        <v>207</v>
      </c>
      <c r="B156" s="25">
        <f>(B150+B151+B154+B155)/4</f>
        <v>3.8179749999999998E-2</v>
      </c>
    </row>
    <row r="157" spans="1:5" hidden="1" x14ac:dyDescent="0.25">
      <c r="A157" s="40" t="s">
        <v>210</v>
      </c>
      <c r="B157" s="25">
        <f>(B150+B151+B154)/3</f>
        <v>3.8503666666666665E-2</v>
      </c>
    </row>
    <row r="158" spans="1:5" x14ac:dyDescent="0.25">
      <c r="A158" s="40"/>
    </row>
  </sheetData>
  <sheetProtection algorithmName="SHA-512" hashValue="bIOVTk3GxZBq2aa6CkyNDh7VUNUqz+9F5OPZljGXWk6pTktpIceN2NbtyRfM9/qge+HSfx06lvwO0G8UaREJ3w==" saltValue="WQ+maAUQybyQH8v1/bmT+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9" tint="0.39997558519241921"/>
    <pageSetUpPr fitToPage="1"/>
  </sheetPr>
  <dimension ref="A1:F158"/>
  <sheetViews>
    <sheetView topLeftCell="A140" workbookViewId="0">
      <selection activeCell="A148" sqref="A148:XFD153"/>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hidden="1" x14ac:dyDescent="0.25">
      <c r="A2" s="14">
        <v>41579</v>
      </c>
      <c r="B2" s="21">
        <v>749309</v>
      </c>
    </row>
    <row r="3" spans="1:2" ht="15.75" hidden="1" customHeight="1" x14ac:dyDescent="0.25">
      <c r="A3" s="14">
        <v>41609</v>
      </c>
      <c r="B3" s="21">
        <v>774843</v>
      </c>
    </row>
    <row r="4" spans="1:2" hidden="1" x14ac:dyDescent="0.25">
      <c r="A4" s="14">
        <v>41640</v>
      </c>
      <c r="B4" s="21">
        <v>793976</v>
      </c>
    </row>
    <row r="5" spans="1:2" hidden="1" x14ac:dyDescent="0.25">
      <c r="A5" s="14">
        <v>41671</v>
      </c>
      <c r="B5" s="21">
        <v>794040</v>
      </c>
    </row>
    <row r="6" spans="1:2" hidden="1" x14ac:dyDescent="0.25">
      <c r="A6" s="14">
        <v>41699</v>
      </c>
      <c r="B6" s="21">
        <v>790678</v>
      </c>
    </row>
    <row r="7" spans="1:2" hidden="1" x14ac:dyDescent="0.25">
      <c r="A7" s="14">
        <v>41730</v>
      </c>
      <c r="B7" s="21">
        <v>797581</v>
      </c>
    </row>
    <row r="8" spans="1:2" hidden="1" x14ac:dyDescent="0.25">
      <c r="A8" s="14">
        <v>41760</v>
      </c>
      <c r="B8" s="21">
        <v>812583</v>
      </c>
    </row>
    <row r="9" spans="1:2" hidden="1" x14ac:dyDescent="0.25">
      <c r="A9" s="14">
        <v>41791</v>
      </c>
      <c r="B9" s="21">
        <v>826830</v>
      </c>
    </row>
    <row r="10" spans="1:2" hidden="1" x14ac:dyDescent="0.25">
      <c r="A10" s="14">
        <v>41821</v>
      </c>
      <c r="B10" s="21">
        <v>812345</v>
      </c>
    </row>
    <row r="11" spans="1:2" hidden="1" x14ac:dyDescent="0.25">
      <c r="A11" s="14">
        <v>41852</v>
      </c>
      <c r="B11" s="21">
        <v>799319</v>
      </c>
    </row>
    <row r="12" spans="1:2" hidden="1" x14ac:dyDescent="0.25">
      <c r="A12" s="14">
        <v>41883</v>
      </c>
      <c r="B12" s="21">
        <v>785171</v>
      </c>
    </row>
    <row r="13" spans="1:2" hidden="1" x14ac:dyDescent="0.25">
      <c r="A13" s="14">
        <v>41913</v>
      </c>
      <c r="B13" s="21">
        <v>778469</v>
      </c>
    </row>
    <row r="14" spans="1:2" hidden="1" x14ac:dyDescent="0.25">
      <c r="A14" s="14">
        <v>41944</v>
      </c>
      <c r="B14" s="21">
        <v>778087</v>
      </c>
    </row>
    <row r="15" spans="1:2" hidden="1" x14ac:dyDescent="0.25">
      <c r="A15" s="14">
        <v>41974</v>
      </c>
      <c r="B15" s="21">
        <v>789977</v>
      </c>
    </row>
    <row r="16" spans="1:2" hidden="1" x14ac:dyDescent="0.25">
      <c r="A16" s="14">
        <v>42005</v>
      </c>
      <c r="B16" s="21">
        <v>800922</v>
      </c>
    </row>
    <row r="17" spans="1:2" hidden="1" x14ac:dyDescent="0.25">
      <c r="A17" s="14">
        <v>42036</v>
      </c>
      <c r="B17" s="21">
        <v>804682</v>
      </c>
    </row>
    <row r="18" spans="1:2" hidden="1" x14ac:dyDescent="0.25">
      <c r="A18" s="14">
        <v>42064</v>
      </c>
      <c r="B18" s="21">
        <v>816331</v>
      </c>
    </row>
    <row r="19" spans="1:2" hidden="1" x14ac:dyDescent="0.25">
      <c r="A19" s="14">
        <v>42095</v>
      </c>
      <c r="B19" s="21">
        <v>815868</v>
      </c>
    </row>
    <row r="20" spans="1:2" hidden="1" x14ac:dyDescent="0.25">
      <c r="A20" s="14">
        <v>42125</v>
      </c>
      <c r="B20" s="21">
        <v>820339</v>
      </c>
    </row>
    <row r="21" spans="1:2" hidden="1" x14ac:dyDescent="0.25">
      <c r="A21" s="14">
        <v>42156</v>
      </c>
      <c r="B21" s="21">
        <v>820212</v>
      </c>
    </row>
    <row r="22" spans="1:2" hidden="1" x14ac:dyDescent="0.25">
      <c r="A22" s="14">
        <v>42186</v>
      </c>
      <c r="B22" s="21">
        <v>795054</v>
      </c>
    </row>
    <row r="23" spans="1:2" hidden="1" x14ac:dyDescent="0.25">
      <c r="A23" s="14">
        <v>42217</v>
      </c>
      <c r="B23" s="21">
        <v>780239</v>
      </c>
    </row>
    <row r="24" spans="1:2" hidden="1" x14ac:dyDescent="0.25">
      <c r="A24" s="14">
        <v>42248</v>
      </c>
      <c r="B24" s="21">
        <v>762097</v>
      </c>
    </row>
    <row r="25" spans="1:2" hidden="1" x14ac:dyDescent="0.25">
      <c r="A25" s="14">
        <v>42278</v>
      </c>
      <c r="B25" s="21">
        <v>761254</v>
      </c>
    </row>
    <row r="26" spans="1:2" hidden="1" x14ac:dyDescent="0.25">
      <c r="A26" s="14">
        <v>42309</v>
      </c>
      <c r="B26" s="21">
        <v>761645</v>
      </c>
    </row>
    <row r="27" spans="1:2" hidden="1" x14ac:dyDescent="0.25">
      <c r="A27" s="14">
        <v>42339</v>
      </c>
      <c r="B27" s="21">
        <v>786896</v>
      </c>
    </row>
    <row r="28" spans="1:2" hidden="1" x14ac:dyDescent="0.25">
      <c r="A28" s="14">
        <v>42370</v>
      </c>
      <c r="B28" s="21">
        <v>793935</v>
      </c>
    </row>
    <row r="29" spans="1:2" hidden="1" x14ac:dyDescent="0.25">
      <c r="A29" s="14">
        <v>42401</v>
      </c>
      <c r="B29" s="21">
        <v>799702</v>
      </c>
    </row>
    <row r="30" spans="1:2" hidden="1" x14ac:dyDescent="0.25">
      <c r="A30" s="14">
        <v>42430</v>
      </c>
      <c r="B30" s="21">
        <v>790813</v>
      </c>
    </row>
    <row r="31" spans="1:2" hidden="1" x14ac:dyDescent="0.25">
      <c r="A31" s="14">
        <v>42461</v>
      </c>
      <c r="B31" s="21">
        <v>792531</v>
      </c>
    </row>
    <row r="32" spans="1:2" hidden="1" x14ac:dyDescent="0.25">
      <c r="A32" s="14">
        <v>42491</v>
      </c>
      <c r="B32" s="21">
        <v>802963</v>
      </c>
    </row>
    <row r="33" spans="1:2" hidden="1" x14ac:dyDescent="0.25">
      <c r="A33" s="14">
        <v>42522</v>
      </c>
      <c r="B33" s="21">
        <v>797473</v>
      </c>
    </row>
    <row r="34" spans="1:2" hidden="1" x14ac:dyDescent="0.25">
      <c r="A34" s="14">
        <v>42552</v>
      </c>
      <c r="B34" s="21">
        <v>792802</v>
      </c>
    </row>
    <row r="35" spans="1:2" hidden="1" x14ac:dyDescent="0.25">
      <c r="A35" s="14">
        <v>42583</v>
      </c>
      <c r="B35" s="21">
        <v>785963</v>
      </c>
    </row>
    <row r="36" spans="1:2" hidden="1" x14ac:dyDescent="0.25">
      <c r="A36" s="14">
        <v>42614</v>
      </c>
      <c r="B36" s="21">
        <v>762210</v>
      </c>
    </row>
    <row r="37" spans="1:2" hidden="1" x14ac:dyDescent="0.25">
      <c r="A37" s="14">
        <v>42644</v>
      </c>
      <c r="B37" s="21">
        <v>747401</v>
      </c>
    </row>
    <row r="38" spans="1:2" hidden="1" x14ac:dyDescent="0.25">
      <c r="A38" s="14">
        <v>42675</v>
      </c>
      <c r="B38" s="21">
        <v>755269</v>
      </c>
    </row>
    <row r="39" spans="1:2" hidden="1" x14ac:dyDescent="0.25">
      <c r="A39" s="14">
        <v>42705</v>
      </c>
      <c r="B39" s="21">
        <v>761780</v>
      </c>
    </row>
    <row r="40" spans="1:2" hidden="1" x14ac:dyDescent="0.25">
      <c r="A40" s="14">
        <v>42736</v>
      </c>
      <c r="B40" s="21">
        <v>762667</v>
      </c>
    </row>
    <row r="41" spans="1:2" hidden="1" x14ac:dyDescent="0.25">
      <c r="A41" s="14">
        <v>42767</v>
      </c>
      <c r="B41" s="21">
        <v>763258</v>
      </c>
    </row>
    <row r="42" spans="1:2" hidden="1" x14ac:dyDescent="0.25">
      <c r="A42" s="14">
        <v>42795</v>
      </c>
      <c r="B42" s="21">
        <v>763262</v>
      </c>
    </row>
    <row r="43" spans="1:2" hidden="1" x14ac:dyDescent="0.25">
      <c r="A43" s="14">
        <v>42826</v>
      </c>
      <c r="B43" s="21">
        <v>766764</v>
      </c>
    </row>
    <row r="44" spans="1:2" hidden="1" x14ac:dyDescent="0.25">
      <c r="A44" s="14">
        <v>42856</v>
      </c>
      <c r="B44" s="21">
        <v>779610</v>
      </c>
    </row>
    <row r="45" spans="1:2" hidden="1" x14ac:dyDescent="0.25">
      <c r="A45" s="14">
        <v>42887</v>
      </c>
      <c r="B45" s="21">
        <v>782889</v>
      </c>
    </row>
    <row r="46" spans="1:2" hidden="1" x14ac:dyDescent="0.25">
      <c r="A46" s="14">
        <v>42917</v>
      </c>
      <c r="B46" s="21">
        <v>779199</v>
      </c>
    </row>
    <row r="47" spans="1:2" hidden="1" x14ac:dyDescent="0.25">
      <c r="A47" s="14">
        <v>42948</v>
      </c>
      <c r="B47" s="21">
        <v>774733</v>
      </c>
    </row>
    <row r="48" spans="1:2" hidden="1" x14ac:dyDescent="0.25">
      <c r="A48" s="14">
        <v>42979</v>
      </c>
      <c r="B48" s="21">
        <v>759650</v>
      </c>
    </row>
    <row r="49" spans="1:2" hidden="1" x14ac:dyDescent="0.25">
      <c r="A49" s="14">
        <v>43009</v>
      </c>
      <c r="B49" s="21">
        <v>743257</v>
      </c>
    </row>
    <row r="50" spans="1:2" hidden="1" x14ac:dyDescent="0.25">
      <c r="A50" s="14">
        <v>43040</v>
      </c>
      <c r="B50" s="21">
        <v>743015</v>
      </c>
    </row>
    <row r="51" spans="1:2" hidden="1" x14ac:dyDescent="0.25">
      <c r="A51" s="14">
        <v>43070</v>
      </c>
      <c r="B51" s="21">
        <v>750907</v>
      </c>
    </row>
    <row r="52" spans="1:2" hidden="1" x14ac:dyDescent="0.25">
      <c r="A52" s="14">
        <v>43101</v>
      </c>
      <c r="B52" s="21">
        <v>773205</v>
      </c>
    </row>
    <row r="53" spans="1:2" hidden="1" x14ac:dyDescent="0.25">
      <c r="A53" s="14">
        <v>43132</v>
      </c>
      <c r="B53" s="21">
        <v>758123</v>
      </c>
    </row>
    <row r="54" spans="1:2" hidden="1" x14ac:dyDescent="0.25">
      <c r="A54" s="14">
        <v>43160</v>
      </c>
      <c r="B54" s="21">
        <v>744371</v>
      </c>
    </row>
    <row r="55" spans="1:2" hidden="1" x14ac:dyDescent="0.25">
      <c r="A55" s="14">
        <v>43191</v>
      </c>
      <c r="B55" s="21">
        <v>748937</v>
      </c>
    </row>
    <row r="56" spans="1:2" hidden="1" x14ac:dyDescent="0.25">
      <c r="A56" s="14">
        <v>43221</v>
      </c>
      <c r="B56" s="21">
        <v>747959</v>
      </c>
    </row>
    <row r="57" spans="1:2" hidden="1" x14ac:dyDescent="0.25">
      <c r="A57" s="14">
        <v>43252</v>
      </c>
      <c r="B57" s="21">
        <v>758473</v>
      </c>
    </row>
    <row r="58" spans="1:2" hidden="1" x14ac:dyDescent="0.25">
      <c r="A58" s="14">
        <v>43282</v>
      </c>
      <c r="B58" s="21">
        <v>747016</v>
      </c>
    </row>
    <row r="59" spans="1:2" hidden="1" x14ac:dyDescent="0.25">
      <c r="A59" s="14">
        <v>43313</v>
      </c>
      <c r="B59" s="21">
        <v>739182</v>
      </c>
    </row>
    <row r="60" spans="1:2" hidden="1" x14ac:dyDescent="0.25">
      <c r="A60" s="14">
        <v>43344</v>
      </c>
      <c r="B60" s="21">
        <v>693435</v>
      </c>
    </row>
    <row r="61" spans="1:2" hidden="1" x14ac:dyDescent="0.25">
      <c r="A61" s="14">
        <v>43374</v>
      </c>
      <c r="B61" s="21">
        <v>675235</v>
      </c>
    </row>
    <row r="62" spans="1:2" hidden="1" x14ac:dyDescent="0.25">
      <c r="A62" s="14">
        <v>43405</v>
      </c>
      <c r="B62" s="21">
        <v>668849</v>
      </c>
    </row>
    <row r="63" spans="1:2" hidden="1" x14ac:dyDescent="0.25">
      <c r="A63" s="14">
        <v>43435</v>
      </c>
      <c r="B63" s="21">
        <v>687987</v>
      </c>
    </row>
    <row r="64" spans="1:2" hidden="1" x14ac:dyDescent="0.25">
      <c r="A64" s="14">
        <v>43466</v>
      </c>
      <c r="B64" s="21">
        <v>696400</v>
      </c>
    </row>
    <row r="65" spans="1:2" hidden="1" x14ac:dyDescent="0.25">
      <c r="A65" s="14">
        <v>43497</v>
      </c>
      <c r="B65" s="21">
        <v>698934</v>
      </c>
    </row>
    <row r="66" spans="1:2" hidden="1" x14ac:dyDescent="0.25">
      <c r="A66" s="14">
        <v>43525</v>
      </c>
      <c r="B66" s="21">
        <v>683484</v>
      </c>
    </row>
    <row r="67" spans="1:2" hidden="1" x14ac:dyDescent="0.25">
      <c r="A67" s="14">
        <v>43556</v>
      </c>
      <c r="B67" s="21">
        <v>691729</v>
      </c>
    </row>
    <row r="68" spans="1:2" hidden="1" x14ac:dyDescent="0.25">
      <c r="A68" s="14">
        <v>43586</v>
      </c>
      <c r="B68" s="21">
        <v>695560</v>
      </c>
    </row>
    <row r="69" spans="1:2" hidden="1" x14ac:dyDescent="0.25">
      <c r="A69" s="14">
        <v>43617</v>
      </c>
      <c r="B69" s="21">
        <v>706529</v>
      </c>
    </row>
    <row r="70" spans="1:2" hidden="1" x14ac:dyDescent="0.25">
      <c r="A70" s="14">
        <v>43647</v>
      </c>
      <c r="B70" s="21">
        <v>707535</v>
      </c>
    </row>
    <row r="71" spans="1:2" hidden="1" x14ac:dyDescent="0.25">
      <c r="A71" s="14">
        <v>43678</v>
      </c>
      <c r="B71" s="21">
        <v>689232</v>
      </c>
    </row>
    <row r="72" spans="1:2" hidden="1" x14ac:dyDescent="0.25">
      <c r="A72" s="14">
        <v>43709</v>
      </c>
      <c r="B72" s="21">
        <v>676709</v>
      </c>
    </row>
    <row r="73" spans="1:2" hidden="1" x14ac:dyDescent="0.25">
      <c r="A73" s="14">
        <v>43739</v>
      </c>
      <c r="B73" s="21">
        <v>676034</v>
      </c>
    </row>
    <row r="74" spans="1:2" hidden="1" x14ac:dyDescent="0.25">
      <c r="A74" s="14">
        <v>43770</v>
      </c>
      <c r="B74" s="21">
        <v>671985</v>
      </c>
    </row>
    <row r="75" spans="1:2" hidden="1" x14ac:dyDescent="0.25">
      <c r="A75" s="14">
        <v>43800</v>
      </c>
      <c r="B75" s="21">
        <v>675685</v>
      </c>
    </row>
    <row r="76" spans="1:2" hidden="1" x14ac:dyDescent="0.25">
      <c r="A76" s="14">
        <v>43831</v>
      </c>
      <c r="B76" s="21">
        <v>683897</v>
      </c>
    </row>
    <row r="77" spans="1:2" hidden="1" x14ac:dyDescent="0.25">
      <c r="A77" s="14">
        <v>43862</v>
      </c>
      <c r="B77" s="21">
        <v>677438</v>
      </c>
    </row>
    <row r="78" spans="1:2" hidden="1" x14ac:dyDescent="0.25">
      <c r="A78" s="14">
        <v>43891</v>
      </c>
      <c r="B78" s="21">
        <v>676377</v>
      </c>
    </row>
    <row r="79" spans="1:2" hidden="1" x14ac:dyDescent="0.25">
      <c r="A79" s="14">
        <v>43922</v>
      </c>
      <c r="B79" s="21">
        <v>674618</v>
      </c>
    </row>
    <row r="80" spans="1:2" hidden="1" x14ac:dyDescent="0.25">
      <c r="A80" s="14">
        <v>43952</v>
      </c>
      <c r="B80" s="21">
        <v>681583</v>
      </c>
    </row>
    <row r="81" spans="1:2" hidden="1" x14ac:dyDescent="0.25">
      <c r="A81" s="14">
        <v>43983</v>
      </c>
      <c r="B81" s="21">
        <v>682114</v>
      </c>
    </row>
    <row r="82" spans="1:2" hidden="1" x14ac:dyDescent="0.25">
      <c r="A82" s="14">
        <v>44013</v>
      </c>
      <c r="B82" s="21">
        <v>685465</v>
      </c>
    </row>
    <row r="83" spans="1:2" hidden="1" x14ac:dyDescent="0.25">
      <c r="A83" s="14">
        <v>44044</v>
      </c>
      <c r="B83" s="21">
        <v>671408</v>
      </c>
    </row>
    <row r="84" spans="1:2" hidden="1" x14ac:dyDescent="0.25">
      <c r="A84" s="14">
        <v>44075</v>
      </c>
      <c r="B84" s="21">
        <v>664812</v>
      </c>
    </row>
    <row r="85" spans="1:2" hidden="1" x14ac:dyDescent="0.25">
      <c r="A85" s="14">
        <v>44105</v>
      </c>
      <c r="B85" s="21">
        <v>650802</v>
      </c>
    </row>
    <row r="86" spans="1:2" hidden="1" x14ac:dyDescent="0.25">
      <c r="A86" s="14">
        <v>44136</v>
      </c>
      <c r="B86" s="21">
        <v>651769</v>
      </c>
    </row>
    <row r="87" spans="1:2" hidden="1"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2" x14ac:dyDescent="0.25">
      <c r="A129" s="14">
        <v>45444</v>
      </c>
      <c r="B129" s="21">
        <v>529125</v>
      </c>
    </row>
    <row r="130" spans="1:2" x14ac:dyDescent="0.25">
      <c r="A130" s="14">
        <v>45474</v>
      </c>
      <c r="B130" s="21">
        <v>527724</v>
      </c>
    </row>
    <row r="131" spans="1:2" x14ac:dyDescent="0.25">
      <c r="A131" s="14">
        <v>45505</v>
      </c>
      <c r="B131" s="21">
        <v>504387</v>
      </c>
    </row>
    <row r="132" spans="1:2" x14ac:dyDescent="0.25">
      <c r="A132" s="14">
        <v>45536</v>
      </c>
      <c r="B132" s="21">
        <v>505714</v>
      </c>
    </row>
    <row r="133" spans="1:2" x14ac:dyDescent="0.25">
      <c r="A133" s="14">
        <v>45566</v>
      </c>
      <c r="B133" s="21">
        <v>501102</v>
      </c>
    </row>
    <row r="134" spans="1:2" x14ac:dyDescent="0.25">
      <c r="A134" s="14">
        <v>45597</v>
      </c>
      <c r="B134" s="21">
        <v>499886</v>
      </c>
    </row>
    <row r="135" spans="1:2" x14ac:dyDescent="0.25">
      <c r="A135" s="14">
        <v>45627</v>
      </c>
      <c r="B135" s="21">
        <v>517303</v>
      </c>
    </row>
    <row r="136" spans="1:2" x14ac:dyDescent="0.25">
      <c r="A136" s="14">
        <v>45658</v>
      </c>
      <c r="B136" s="21">
        <v>520574</v>
      </c>
    </row>
    <row r="137" spans="1:2" x14ac:dyDescent="0.25">
      <c r="A137" s="14">
        <v>45689</v>
      </c>
      <c r="B137" s="21">
        <v>514814</v>
      </c>
    </row>
    <row r="138" spans="1:2" x14ac:dyDescent="0.25">
      <c r="A138" s="14">
        <v>45717</v>
      </c>
      <c r="B138" s="21">
        <v>515407</v>
      </c>
    </row>
    <row r="139" spans="1:2" x14ac:dyDescent="0.25">
      <c r="A139" s="14">
        <v>45748</v>
      </c>
      <c r="B139" s="21">
        <v>512681</v>
      </c>
    </row>
    <row r="140" spans="1:2" x14ac:dyDescent="0.25">
      <c r="A140" s="14">
        <v>45778</v>
      </c>
      <c r="B140" s="21">
        <v>517315</v>
      </c>
    </row>
    <row r="141" spans="1:2" x14ac:dyDescent="0.25">
      <c r="A141" s="14"/>
      <c r="B141" s="21"/>
    </row>
    <row r="142" spans="1:2" x14ac:dyDescent="0.25">
      <c r="A142" s="14"/>
      <c r="B142" s="21"/>
    </row>
    <row r="143" spans="1:2" x14ac:dyDescent="0.25">
      <c r="A143" s="14"/>
      <c r="B143" s="21"/>
    </row>
    <row r="144" spans="1:2" ht="45" x14ac:dyDescent="0.25">
      <c r="A144" s="27">
        <f>Pooling_Month</f>
        <v>45839</v>
      </c>
      <c r="B144" s="20" t="s">
        <v>67</v>
      </c>
    </row>
    <row r="145" spans="1:6" x14ac:dyDescent="0.25">
      <c r="A145" s="31" t="s">
        <v>60</v>
      </c>
      <c r="B145" s="33">
        <v>512236</v>
      </c>
    </row>
    <row r="146" spans="1:6" x14ac:dyDescent="0.25">
      <c r="B146" s="267"/>
    </row>
    <row r="147" spans="1:6" ht="17.25" customHeight="1" x14ac:dyDescent="0.25"/>
    <row r="148" spans="1:6" hidden="1" x14ac:dyDescent="0.25"/>
    <row r="149" spans="1:6" ht="30" hidden="1" x14ac:dyDescent="0.25">
      <c r="A149" s="40" t="s">
        <v>213</v>
      </c>
      <c r="B149" s="217">
        <f>B130-B128</f>
        <v>-5079</v>
      </c>
      <c r="D149" t="s">
        <v>190</v>
      </c>
    </row>
    <row r="150" spans="1:6" hidden="1" x14ac:dyDescent="0.25">
      <c r="A150" s="93" t="s">
        <v>214</v>
      </c>
      <c r="B150" s="94">
        <f>B140</f>
        <v>517315</v>
      </c>
    </row>
    <row r="151" spans="1:6" hidden="1" x14ac:dyDescent="0.25">
      <c r="A151" s="269" t="s">
        <v>209</v>
      </c>
      <c r="B151" s="94">
        <f>SUM(B149:B150)</f>
        <v>512236</v>
      </c>
      <c r="C151" s="101"/>
      <c r="D151" s="101"/>
    </row>
    <row r="152" spans="1:6" hidden="1" x14ac:dyDescent="0.25">
      <c r="A152" s="92" t="s">
        <v>204</v>
      </c>
      <c r="B152" s="94">
        <f>B130</f>
        <v>527724</v>
      </c>
      <c r="C152" s="101"/>
      <c r="D152" s="101"/>
    </row>
    <row r="153" spans="1:6" hidden="1" x14ac:dyDescent="0.25">
      <c r="A153" t="s">
        <v>83</v>
      </c>
      <c r="B153" s="94">
        <f>AVERAGE(B151:B152)</f>
        <v>519980</v>
      </c>
      <c r="D153" s="101"/>
    </row>
    <row r="154" spans="1:6" x14ac:dyDescent="0.25">
      <c r="D154" s="101"/>
    </row>
    <row r="155" spans="1:6" x14ac:dyDescent="0.25">
      <c r="A155" s="92"/>
      <c r="D155" s="101"/>
      <c r="E155" s="94"/>
      <c r="F155" s="94"/>
    </row>
    <row r="156" spans="1:6" x14ac:dyDescent="0.25">
      <c r="A156" s="91"/>
    </row>
    <row r="157" spans="1:6" x14ac:dyDescent="0.25">
      <c r="A157" s="40"/>
    </row>
    <row r="158" spans="1:6" x14ac:dyDescent="0.25">
      <c r="A158" s="40"/>
    </row>
  </sheetData>
  <sheetProtection algorithmName="SHA-512" hashValue="Wt2xR3xVdzMwCYD68nPjNz5dqCkdQUloxGDGznWFC6z3RX0jUUP1w55vzISwu19hTCDiGu4rGQKBOZWe2LDilg==" saltValue="8erGebVoLVzrS8CeQ8bXNA=="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39997558519241921"/>
  </sheetPr>
  <dimension ref="A1:E166"/>
  <sheetViews>
    <sheetView topLeftCell="A143" workbookViewId="0">
      <selection activeCell="A147" sqref="A147:XFD155"/>
    </sheetView>
  </sheetViews>
  <sheetFormatPr defaultRowHeight="15" x14ac:dyDescent="0.25"/>
  <cols>
    <col min="1" max="1" width="26.28515625" customWidth="1"/>
    <col min="2" max="2" width="16.140625" customWidth="1"/>
  </cols>
  <sheetData>
    <row r="1" spans="1:2" ht="60" x14ac:dyDescent="0.25">
      <c r="A1" s="20" t="s">
        <v>0</v>
      </c>
      <c r="B1" s="29" t="s">
        <v>70</v>
      </c>
    </row>
    <row r="2" spans="1:2" hidden="1" x14ac:dyDescent="0.25">
      <c r="A2" s="14">
        <v>41579</v>
      </c>
      <c r="B2" s="25">
        <v>3.5638999999999997E-2</v>
      </c>
    </row>
    <row r="3" spans="1:2" hidden="1" x14ac:dyDescent="0.25">
      <c r="A3" s="14">
        <v>41609</v>
      </c>
      <c r="B3" s="25">
        <v>4.394E-2</v>
      </c>
    </row>
    <row r="4" spans="1:2" hidden="1" x14ac:dyDescent="0.25">
      <c r="A4" s="14">
        <v>41640</v>
      </c>
      <c r="B4" s="25">
        <v>5.9451999999999998E-2</v>
      </c>
    </row>
    <row r="5" spans="1:2" hidden="1" x14ac:dyDescent="0.25">
      <c r="A5" s="14">
        <v>41671</v>
      </c>
      <c r="B5" s="25">
        <v>5.6061E-2</v>
      </c>
    </row>
    <row r="6" spans="1:2" hidden="1" x14ac:dyDescent="0.25">
      <c r="A6" s="14">
        <v>41699</v>
      </c>
      <c r="B6" s="25">
        <v>5.2576999999999999E-2</v>
      </c>
    </row>
    <row r="7" spans="1:2" hidden="1" x14ac:dyDescent="0.25">
      <c r="A7" s="14">
        <v>41730</v>
      </c>
      <c r="B7" s="25">
        <v>5.5563000000000001E-2</v>
      </c>
    </row>
    <row r="8" spans="1:2" hidden="1" x14ac:dyDescent="0.25">
      <c r="A8" s="14">
        <v>41760</v>
      </c>
      <c r="B8" s="25">
        <v>6.6798999999999997E-2</v>
      </c>
    </row>
    <row r="9" spans="1:2" hidden="1" x14ac:dyDescent="0.25">
      <c r="A9" s="14">
        <v>41791</v>
      </c>
      <c r="B9" s="25">
        <v>7.8812999999999994E-2</v>
      </c>
    </row>
    <row r="10" spans="1:2" hidden="1" x14ac:dyDescent="0.25">
      <c r="A10" s="14">
        <v>41821</v>
      </c>
      <c r="B10" s="25">
        <v>7.2008000000000003E-2</v>
      </c>
    </row>
    <row r="11" spans="1:2" hidden="1" x14ac:dyDescent="0.25">
      <c r="A11" s="14">
        <v>41852</v>
      </c>
      <c r="B11" s="25">
        <v>6.5037999999999999E-2</v>
      </c>
    </row>
    <row r="12" spans="1:2" hidden="1" x14ac:dyDescent="0.25">
      <c r="A12" s="14">
        <v>41883</v>
      </c>
      <c r="B12" s="25">
        <v>5.4698999999999998E-2</v>
      </c>
    </row>
    <row r="13" spans="1:2" hidden="1" x14ac:dyDescent="0.25">
      <c r="A13" s="14">
        <v>41913</v>
      </c>
      <c r="B13" s="25">
        <v>5.6087999999999999E-2</v>
      </c>
    </row>
    <row r="14" spans="1:2" hidden="1" x14ac:dyDescent="0.25">
      <c r="A14" s="14">
        <v>41944</v>
      </c>
      <c r="B14" s="25">
        <v>4.5608999999999997E-2</v>
      </c>
    </row>
    <row r="15" spans="1:2" hidden="1" x14ac:dyDescent="0.25">
      <c r="A15" s="14">
        <v>41974</v>
      </c>
      <c r="B15" s="25">
        <v>5.2464999999999998E-2</v>
      </c>
    </row>
    <row r="16" spans="1:2" hidden="1" x14ac:dyDescent="0.25">
      <c r="A16" s="14">
        <v>42005</v>
      </c>
      <c r="B16" s="25">
        <v>6.0063999999999999E-2</v>
      </c>
    </row>
    <row r="17" spans="1:2" hidden="1" x14ac:dyDescent="0.25">
      <c r="A17" s="14">
        <v>42036</v>
      </c>
      <c r="B17" s="25">
        <v>6.1749999999999999E-2</v>
      </c>
    </row>
    <row r="18" spans="1:2" hidden="1" x14ac:dyDescent="0.25">
      <c r="A18" s="14">
        <v>42064</v>
      </c>
      <c r="B18" s="25">
        <v>5.5175000000000002E-2</v>
      </c>
    </row>
    <row r="19" spans="1:2" hidden="1" x14ac:dyDescent="0.25">
      <c r="A19" s="14">
        <v>42095</v>
      </c>
      <c r="B19" s="25">
        <v>6.6474000000000005E-2</v>
      </c>
    </row>
    <row r="20" spans="1:2" hidden="1" x14ac:dyDescent="0.25">
      <c r="A20" s="14">
        <v>42125</v>
      </c>
      <c r="B20" s="25">
        <v>7.3679999999999995E-2</v>
      </c>
    </row>
    <row r="21" spans="1:2" hidden="1" x14ac:dyDescent="0.25">
      <c r="A21" s="14">
        <v>42156</v>
      </c>
      <c r="B21" s="25">
        <v>7.2096999999999994E-2</v>
      </c>
    </row>
    <row r="22" spans="1:2" hidden="1" x14ac:dyDescent="0.25">
      <c r="A22" s="14">
        <v>42186</v>
      </c>
      <c r="B22" s="25">
        <v>5.8506000000000002E-2</v>
      </c>
    </row>
    <row r="23" spans="1:2" hidden="1" x14ac:dyDescent="0.25">
      <c r="A23" s="14">
        <v>42217</v>
      </c>
      <c r="B23" s="25">
        <v>5.2084999999999999E-2</v>
      </c>
    </row>
    <row r="24" spans="1:2" hidden="1" x14ac:dyDescent="0.25">
      <c r="A24" s="14">
        <v>42248</v>
      </c>
      <c r="B24" s="25">
        <v>4.2168999999999998E-2</v>
      </c>
    </row>
    <row r="25" spans="1:2" hidden="1" x14ac:dyDescent="0.25">
      <c r="A25" s="14">
        <v>42278</v>
      </c>
      <c r="B25" s="25">
        <v>4.4915999999999998E-2</v>
      </c>
    </row>
    <row r="26" spans="1:2" hidden="1" x14ac:dyDescent="0.25">
      <c r="A26" s="14">
        <v>42309</v>
      </c>
      <c r="B26" s="25">
        <v>4.7728E-2</v>
      </c>
    </row>
    <row r="27" spans="1:2" hidden="1" x14ac:dyDescent="0.25">
      <c r="A27" s="14">
        <v>42339</v>
      </c>
      <c r="B27" s="25">
        <v>5.6321999999999997E-2</v>
      </c>
    </row>
    <row r="28" spans="1:2" hidden="1" x14ac:dyDescent="0.25">
      <c r="A28" s="14">
        <v>42370</v>
      </c>
      <c r="B28" s="25">
        <v>5.1228000000000003E-2</v>
      </c>
    </row>
    <row r="29" spans="1:2" hidden="1" x14ac:dyDescent="0.25">
      <c r="A29" s="14">
        <v>42401</v>
      </c>
      <c r="B29" s="25">
        <v>5.0070000000000003E-2</v>
      </c>
    </row>
    <row r="30" spans="1:2" hidden="1" x14ac:dyDescent="0.25">
      <c r="A30" s="14">
        <v>42430</v>
      </c>
      <c r="B30" s="25">
        <v>3.7915999999999998E-2</v>
      </c>
    </row>
    <row r="31" spans="1:2" hidden="1" x14ac:dyDescent="0.25">
      <c r="A31" s="14">
        <v>42461</v>
      </c>
      <c r="B31" s="25">
        <v>4.3702999999999999E-2</v>
      </c>
    </row>
    <row r="32" spans="1:2" hidden="1" x14ac:dyDescent="0.25">
      <c r="A32" s="14">
        <v>42491</v>
      </c>
      <c r="B32" s="25">
        <v>5.2204E-2</v>
      </c>
    </row>
    <row r="33" spans="1:2" hidden="1" x14ac:dyDescent="0.25">
      <c r="A33" s="14">
        <v>42522</v>
      </c>
      <c r="B33" s="25">
        <v>5.2576999999999999E-2</v>
      </c>
    </row>
    <row r="34" spans="1:2" hidden="1" x14ac:dyDescent="0.25">
      <c r="A34" s="14">
        <v>42552</v>
      </c>
      <c r="B34" s="25">
        <v>5.8014000000000003E-2</v>
      </c>
    </row>
    <row r="35" spans="1:2" hidden="1" x14ac:dyDescent="0.25">
      <c r="A35" s="14">
        <v>42583</v>
      </c>
      <c r="B35" s="25">
        <v>5.2872000000000002E-2</v>
      </c>
    </row>
    <row r="36" spans="1:2" hidden="1" x14ac:dyDescent="0.25">
      <c r="A36" s="14">
        <v>42614</v>
      </c>
      <c r="B36" s="25">
        <v>4.3313999999999998E-2</v>
      </c>
    </row>
    <row r="37" spans="1:2" hidden="1" x14ac:dyDescent="0.25">
      <c r="A37" s="14">
        <v>42644</v>
      </c>
      <c r="B37" s="25">
        <v>3.8990999999999998E-2</v>
      </c>
    </row>
    <row r="38" spans="1:2" hidden="1" x14ac:dyDescent="0.25">
      <c r="A38" s="14">
        <v>42675</v>
      </c>
      <c r="B38" s="25">
        <v>3.6156000000000001E-2</v>
      </c>
    </row>
    <row r="39" spans="1:2" hidden="1" x14ac:dyDescent="0.25">
      <c r="A39" s="14">
        <v>42705</v>
      </c>
      <c r="B39" s="25">
        <v>3.5286999999999999E-2</v>
      </c>
    </row>
    <row r="40" spans="1:2" hidden="1" x14ac:dyDescent="0.25">
      <c r="A40" s="14">
        <v>42736</v>
      </c>
      <c r="B40" s="25">
        <v>3.4516999999999999E-2</v>
      </c>
    </row>
    <row r="41" spans="1:2" hidden="1" x14ac:dyDescent="0.25">
      <c r="A41" s="14">
        <v>42767</v>
      </c>
      <c r="B41" s="25">
        <v>3.2278000000000001E-2</v>
      </c>
    </row>
    <row r="42" spans="1:2" hidden="1" x14ac:dyDescent="0.25">
      <c r="A42" s="14">
        <v>42795</v>
      </c>
      <c r="B42" s="25">
        <v>3.3904999999999998E-2</v>
      </c>
    </row>
    <row r="43" spans="1:2" hidden="1" x14ac:dyDescent="0.25">
      <c r="A43" s="14">
        <v>42826</v>
      </c>
      <c r="B43" s="25">
        <v>3.1236E-2</v>
      </c>
    </row>
    <row r="44" spans="1:2" hidden="1" x14ac:dyDescent="0.25">
      <c r="A44" s="14">
        <v>42856</v>
      </c>
      <c r="B44" s="25">
        <v>3.7967000000000001E-2</v>
      </c>
    </row>
    <row r="45" spans="1:2" hidden="1" x14ac:dyDescent="0.25">
      <c r="A45" s="14">
        <v>42887</v>
      </c>
      <c r="B45" s="25">
        <v>4.5339999999999998E-2</v>
      </c>
    </row>
    <row r="46" spans="1:2" hidden="1" x14ac:dyDescent="0.25">
      <c r="A46" s="14">
        <v>42917</v>
      </c>
      <c r="B46" s="25">
        <v>4.9384999999999998E-2</v>
      </c>
    </row>
    <row r="47" spans="1:2" hidden="1" x14ac:dyDescent="0.25">
      <c r="A47" s="14">
        <v>42948</v>
      </c>
      <c r="B47" s="25">
        <v>5.0422000000000002E-2</v>
      </c>
    </row>
    <row r="48" spans="1:2" hidden="1" x14ac:dyDescent="0.25">
      <c r="A48" s="14">
        <v>42979</v>
      </c>
      <c r="B48" s="25">
        <v>4.1014000000000002E-2</v>
      </c>
    </row>
    <row r="49" spans="1:2" hidden="1" x14ac:dyDescent="0.25">
      <c r="A49" s="14">
        <v>43009</v>
      </c>
      <c r="B49" s="25">
        <v>3.1725999999999997E-2</v>
      </c>
    </row>
    <row r="50" spans="1:2" hidden="1" x14ac:dyDescent="0.25">
      <c r="A50" s="14">
        <v>43040</v>
      </c>
      <c r="B50" s="25">
        <v>3.1650999999999999E-2</v>
      </c>
    </row>
    <row r="51" spans="1:2" hidden="1" x14ac:dyDescent="0.25">
      <c r="A51" s="14">
        <v>43070</v>
      </c>
      <c r="B51" s="25">
        <v>3.4349999999999999E-2</v>
      </c>
    </row>
    <row r="52" spans="1:2" hidden="1" x14ac:dyDescent="0.25">
      <c r="A52" s="14">
        <v>43101</v>
      </c>
      <c r="B52" s="25">
        <v>3.8205999999999997E-2</v>
      </c>
    </row>
    <row r="53" spans="1:2" hidden="1" x14ac:dyDescent="0.25">
      <c r="A53" s="14">
        <v>43132</v>
      </c>
      <c r="B53" s="25">
        <v>3.3753999999999999E-2</v>
      </c>
    </row>
    <row r="54" spans="1:2" hidden="1" x14ac:dyDescent="0.25">
      <c r="A54" s="14">
        <v>43160</v>
      </c>
      <c r="B54" s="25">
        <v>3.0027999999999999E-2</v>
      </c>
    </row>
    <row r="55" spans="1:2" hidden="1" x14ac:dyDescent="0.25">
      <c r="A55" s="14">
        <v>43191</v>
      </c>
      <c r="B55" s="25">
        <v>2.4284E-2</v>
      </c>
    </row>
    <row r="56" spans="1:2" hidden="1" x14ac:dyDescent="0.25">
      <c r="A56" s="14">
        <v>43221</v>
      </c>
      <c r="B56" s="25">
        <v>3.3898999999999999E-2</v>
      </c>
    </row>
    <row r="57" spans="1:2" hidden="1" x14ac:dyDescent="0.25">
      <c r="A57" s="14">
        <v>43252</v>
      </c>
      <c r="B57" s="25">
        <v>3.8705000000000003E-2</v>
      </c>
    </row>
    <row r="58" spans="1:2" hidden="1" x14ac:dyDescent="0.25">
      <c r="A58" s="14">
        <v>43282</v>
      </c>
      <c r="B58" s="25">
        <v>3.6927000000000001E-2</v>
      </c>
    </row>
    <row r="59" spans="1:2" hidden="1" x14ac:dyDescent="0.25">
      <c r="A59" s="14">
        <v>43313</v>
      </c>
      <c r="B59" s="25">
        <v>2.6554000000000001E-2</v>
      </c>
    </row>
    <row r="60" spans="1:2" hidden="1" x14ac:dyDescent="0.25">
      <c r="A60" s="14">
        <v>43344</v>
      </c>
      <c r="B60" s="25">
        <v>1.5944E-2</v>
      </c>
    </row>
    <row r="61" spans="1:2" hidden="1" x14ac:dyDescent="0.25">
      <c r="A61" s="14">
        <v>43374</v>
      </c>
      <c r="B61" s="25">
        <v>1.0083E-2</v>
      </c>
    </row>
    <row r="62" spans="1:2" hidden="1" x14ac:dyDescent="0.25">
      <c r="A62" s="14">
        <v>43405</v>
      </c>
      <c r="B62" s="25">
        <v>8.548E-3</v>
      </c>
    </row>
    <row r="63" spans="1:2" hidden="1" x14ac:dyDescent="0.25">
      <c r="A63" s="14">
        <v>43435</v>
      </c>
      <c r="B63" s="25">
        <v>1.5037999999999999E-2</v>
      </c>
    </row>
    <row r="64" spans="1:2" hidden="1" x14ac:dyDescent="0.25">
      <c r="A64" s="14">
        <v>43466</v>
      </c>
      <c r="B64" s="25">
        <v>1.8364999999999999E-2</v>
      </c>
    </row>
    <row r="65" spans="1:2" hidden="1" x14ac:dyDescent="0.25">
      <c r="A65" s="14">
        <v>43497</v>
      </c>
      <c r="B65" s="25">
        <v>1.7288000000000001E-2</v>
      </c>
    </row>
    <row r="66" spans="1:2" hidden="1" x14ac:dyDescent="0.25">
      <c r="A66" s="14">
        <v>43525</v>
      </c>
      <c r="B66" s="25">
        <v>1.1864E-2</v>
      </c>
    </row>
    <row r="67" spans="1:2" hidden="1" x14ac:dyDescent="0.25">
      <c r="A67" s="14">
        <v>43556</v>
      </c>
      <c r="B67" s="25">
        <v>6.5420000000000001E-3</v>
      </c>
    </row>
    <row r="68" spans="1:2" hidden="1" x14ac:dyDescent="0.25">
      <c r="A68" s="14">
        <v>43586</v>
      </c>
      <c r="B68" s="25">
        <v>7.9850000000000008E-3</v>
      </c>
    </row>
    <row r="69" spans="1:2" hidden="1" x14ac:dyDescent="0.25">
      <c r="A69" s="14">
        <v>43617</v>
      </c>
      <c r="B69" s="25">
        <v>1.4010999999999999E-2</v>
      </c>
    </row>
    <row r="70" spans="1:2" hidden="1" x14ac:dyDescent="0.25">
      <c r="A70" s="14">
        <v>43647</v>
      </c>
      <c r="B70" s="25">
        <v>1.3396999999999999E-2</v>
      </c>
    </row>
    <row r="71" spans="1:2" hidden="1" x14ac:dyDescent="0.25">
      <c r="A71" s="14">
        <v>43678</v>
      </c>
      <c r="B71" s="25">
        <v>1.2625000000000001E-2</v>
      </c>
    </row>
    <row r="72" spans="1:2" hidden="1" x14ac:dyDescent="0.25">
      <c r="A72" s="14">
        <v>43709</v>
      </c>
      <c r="B72" s="25">
        <v>4.6829999999999997E-3</v>
      </c>
    </row>
    <row r="73" spans="1:2" hidden="1" x14ac:dyDescent="0.25">
      <c r="A73" s="14">
        <v>43739</v>
      </c>
      <c r="B73" s="25">
        <v>4.0010000000000002E-3</v>
      </c>
    </row>
    <row r="74" spans="1:2" hidden="1" x14ac:dyDescent="0.25">
      <c r="A74" s="14">
        <v>43770</v>
      </c>
      <c r="B74" s="25">
        <v>5.5989999999999998E-3</v>
      </c>
    </row>
    <row r="75" spans="1:2" hidden="1" x14ac:dyDescent="0.25">
      <c r="A75" s="14">
        <v>43800</v>
      </c>
      <c r="B75" s="25">
        <v>7.0670000000000004E-3</v>
      </c>
    </row>
    <row r="76" spans="1:2" hidden="1" x14ac:dyDescent="0.25">
      <c r="A76" s="14">
        <v>43831</v>
      </c>
      <c r="B76" s="25">
        <v>1.0317E-2</v>
      </c>
    </row>
    <row r="77" spans="1:2" hidden="1" x14ac:dyDescent="0.25">
      <c r="A77" s="14">
        <v>43862</v>
      </c>
      <c r="B77" s="25">
        <v>9.8370000000000003E-3</v>
      </c>
    </row>
    <row r="78" spans="1:2" hidden="1" x14ac:dyDescent="0.25">
      <c r="A78" s="14">
        <v>43891</v>
      </c>
      <c r="B78" s="25">
        <v>1.7531999999999999E-2</v>
      </c>
    </row>
    <row r="79" spans="1:2" hidden="1" x14ac:dyDescent="0.25">
      <c r="A79" s="14">
        <v>43922</v>
      </c>
      <c r="B79" s="25">
        <v>5.9680000000000002E-3</v>
      </c>
    </row>
    <row r="80" spans="1:2" hidden="1" x14ac:dyDescent="0.25">
      <c r="A80" s="14">
        <v>43952</v>
      </c>
      <c r="B80" s="25">
        <v>4.084E-3</v>
      </c>
    </row>
    <row r="81" spans="1:2" hidden="1" x14ac:dyDescent="0.25">
      <c r="A81" s="14">
        <v>43983</v>
      </c>
      <c r="B81" s="25">
        <v>7.9500000000000005E-3</v>
      </c>
    </row>
    <row r="82" spans="1:2" hidden="1" x14ac:dyDescent="0.25">
      <c r="A82" s="14">
        <v>44013</v>
      </c>
      <c r="B82" s="25">
        <v>1.1989E-2</v>
      </c>
    </row>
    <row r="83" spans="1:2" hidden="1" x14ac:dyDescent="0.25">
      <c r="A83" s="14">
        <v>44044</v>
      </c>
      <c r="B83" s="25">
        <v>8.3260000000000001E-3</v>
      </c>
    </row>
    <row r="84" spans="1:2" hidden="1" x14ac:dyDescent="0.25">
      <c r="A84" s="14">
        <v>44075</v>
      </c>
      <c r="B84" s="25">
        <v>3.2429999999999998E-3</v>
      </c>
    </row>
    <row r="85" spans="1:2" hidden="1" x14ac:dyDescent="0.25">
      <c r="A85" s="14">
        <v>44105</v>
      </c>
      <c r="B85" s="25">
        <v>2.5739999999999999E-3</v>
      </c>
    </row>
    <row r="86" spans="1:2" hidden="1" x14ac:dyDescent="0.25">
      <c r="A86" s="14">
        <v>44136</v>
      </c>
      <c r="B86" s="25">
        <v>2.4889999999999999E-3</v>
      </c>
    </row>
    <row r="87" spans="1:2" hidden="1"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2" x14ac:dyDescent="0.25">
      <c r="A129" s="14">
        <v>45444</v>
      </c>
      <c r="B129" s="25">
        <v>7.0410000000000004E-3</v>
      </c>
    </row>
    <row r="130" spans="1:2" x14ac:dyDescent="0.25">
      <c r="A130" s="14">
        <v>45474</v>
      </c>
      <c r="B130" s="25">
        <v>6.992E-3</v>
      </c>
    </row>
    <row r="131" spans="1:2" x14ac:dyDescent="0.25">
      <c r="A131" s="14">
        <v>45505</v>
      </c>
      <c r="B131" s="25">
        <v>8.9189999999999998E-3</v>
      </c>
    </row>
    <row r="132" spans="1:2" x14ac:dyDescent="0.25">
      <c r="A132" s="14">
        <v>45536</v>
      </c>
      <c r="B132" s="25">
        <v>7.4229999999999999E-3</v>
      </c>
    </row>
    <row r="133" spans="1:2" x14ac:dyDescent="0.25">
      <c r="A133" s="14">
        <v>45566</v>
      </c>
      <c r="B133" s="25">
        <v>6.6740000000000002E-3</v>
      </c>
    </row>
    <row r="134" spans="1:2" x14ac:dyDescent="0.25">
      <c r="A134" s="14">
        <v>45597</v>
      </c>
      <c r="B134" s="25">
        <v>8.3440000000000007E-3</v>
      </c>
    </row>
    <row r="135" spans="1:2" x14ac:dyDescent="0.25">
      <c r="A135" s="14">
        <v>45627</v>
      </c>
      <c r="B135" s="25">
        <v>1.7023E-2</v>
      </c>
    </row>
    <row r="136" spans="1:2" x14ac:dyDescent="0.25">
      <c r="A136" s="14">
        <v>45658</v>
      </c>
      <c r="B136" s="25">
        <v>1.0597000000000001E-2</v>
      </c>
    </row>
    <row r="137" spans="1:2" x14ac:dyDescent="0.25">
      <c r="A137" s="14">
        <v>45689</v>
      </c>
      <c r="B137" s="25">
        <v>5.6709999999999998E-3</v>
      </c>
    </row>
    <row r="138" spans="1:2" x14ac:dyDescent="0.25">
      <c r="A138" s="14">
        <v>45717</v>
      </c>
      <c r="B138" s="25">
        <v>1.0151E-2</v>
      </c>
    </row>
    <row r="139" spans="1:2" x14ac:dyDescent="0.25">
      <c r="A139" s="14">
        <v>45748</v>
      </c>
      <c r="B139" s="25">
        <v>7.6429999999999996E-3</v>
      </c>
    </row>
    <row r="140" spans="1:2" x14ac:dyDescent="0.25">
      <c r="A140" s="14">
        <v>45778</v>
      </c>
      <c r="B140" s="25">
        <v>1.1212E-2</v>
      </c>
    </row>
    <row r="141" spans="1:2" x14ac:dyDescent="0.25">
      <c r="A141" s="14"/>
      <c r="B141" s="25"/>
    </row>
    <row r="142" spans="1:2" x14ac:dyDescent="0.25">
      <c r="A142" s="14"/>
      <c r="B142" s="25"/>
    </row>
    <row r="143" spans="1:2" x14ac:dyDescent="0.25">
      <c r="A143" s="14"/>
    </row>
    <row r="144" spans="1:2" ht="60" x14ac:dyDescent="0.25">
      <c r="A144" s="27">
        <f>Pooling_Month</f>
        <v>45839</v>
      </c>
      <c r="B144" s="29" t="s">
        <v>69</v>
      </c>
    </row>
    <row r="145" spans="1:5" x14ac:dyDescent="0.25">
      <c r="A145" s="31" t="s">
        <v>60</v>
      </c>
      <c r="B145" s="32">
        <v>7.2409999999999992E-3</v>
      </c>
    </row>
    <row r="146" spans="1:5" ht="15.75" customHeight="1" x14ac:dyDescent="0.25"/>
    <row r="147" spans="1:5" hidden="1" x14ac:dyDescent="0.25">
      <c r="E147" t="s">
        <v>193</v>
      </c>
    </row>
    <row r="148" spans="1:5" hidden="1" x14ac:dyDescent="0.25">
      <c r="A148" s="40" t="s">
        <v>213</v>
      </c>
      <c r="B148" s="95">
        <f>B130-B128</f>
        <v>-3.9710000000000006E-3</v>
      </c>
    </row>
    <row r="149" spans="1:5" hidden="1" x14ac:dyDescent="0.25">
      <c r="A149" s="93" t="s">
        <v>214</v>
      </c>
      <c r="B149" s="95">
        <f>B140</f>
        <v>1.1212E-2</v>
      </c>
    </row>
    <row r="150" spans="1:5" hidden="1" x14ac:dyDescent="0.25">
      <c r="A150" s="269" t="s">
        <v>209</v>
      </c>
      <c r="B150" s="95">
        <f>SUM(B148:B149)</f>
        <v>7.2409999999999992E-3</v>
      </c>
    </row>
    <row r="151" spans="1:5" hidden="1" x14ac:dyDescent="0.25">
      <c r="A151" s="92" t="s">
        <v>204</v>
      </c>
      <c r="B151" s="95">
        <f>B130</f>
        <v>6.992E-3</v>
      </c>
    </row>
    <row r="152" spans="1:5" hidden="1" x14ac:dyDescent="0.25">
      <c r="A152" s="92" t="s">
        <v>205</v>
      </c>
      <c r="B152" s="95">
        <f>B118</f>
        <v>4.7910000000000001E-3</v>
      </c>
    </row>
    <row r="153" spans="1:5" hidden="1" x14ac:dyDescent="0.25">
      <c r="A153" s="91" t="s">
        <v>206</v>
      </c>
      <c r="B153" s="95">
        <f>B106</f>
        <v>3.4229999999999998E-3</v>
      </c>
    </row>
    <row r="154" spans="1:5" hidden="1" x14ac:dyDescent="0.25">
      <c r="A154" s="40" t="s">
        <v>207</v>
      </c>
      <c r="B154" s="95">
        <f>AVERAGE(B150:B153)</f>
        <v>5.6117499999999996E-3</v>
      </c>
    </row>
    <row r="155" spans="1:5" hidden="1" x14ac:dyDescent="0.25">
      <c r="A155" s="40" t="s">
        <v>210</v>
      </c>
      <c r="B155" s="25">
        <f>AVERAGE(B150:B152)</f>
        <v>6.3413333333333334E-3</v>
      </c>
    </row>
    <row r="158" spans="1:5" x14ac:dyDescent="0.25">
      <c r="A158" s="40"/>
    </row>
    <row r="159" spans="1:5" x14ac:dyDescent="0.25">
      <c r="A159" s="93"/>
    </row>
    <row r="160" spans="1:5" x14ac:dyDescent="0.25">
      <c r="A160" s="91"/>
    </row>
    <row r="161" spans="1:1" x14ac:dyDescent="0.25">
      <c r="A161" s="92"/>
    </row>
    <row r="163" spans="1:1" x14ac:dyDescent="0.25">
      <c r="A163" s="92"/>
    </row>
    <row r="164" spans="1:1" x14ac:dyDescent="0.25">
      <c r="A164" s="92"/>
    </row>
    <row r="165" spans="1:1" x14ac:dyDescent="0.25">
      <c r="A165" s="91"/>
    </row>
    <row r="166" spans="1:1" x14ac:dyDescent="0.25">
      <c r="A166" s="40"/>
    </row>
  </sheetData>
  <sheetProtection algorithmName="SHA-512" hashValue="6vNw8d7N30OjL0tFQ5ZEUgy3BNQXC9I203LEnYpYnBEZzd1DIG4J3WsosCGc9Ky6ShaNibMhyshEea2Bum25gw==" saltValue="T7ehg47IOsSLeHCbksS/cg=="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K161"/>
  <sheetViews>
    <sheetView topLeftCell="A164" workbookViewId="0">
      <selection activeCell="A151" sqref="A151:XFD161"/>
    </sheetView>
  </sheetViews>
  <sheetFormatPr defaultRowHeight="15" x14ac:dyDescent="0.25"/>
  <cols>
    <col min="1" max="1" width="27" customWidth="1"/>
    <col min="2" max="2" width="17.85546875" customWidth="1"/>
    <col min="3" max="3" width="18" customWidth="1"/>
    <col min="5" max="5" width="35.42578125" customWidth="1"/>
    <col min="6" max="6" width="20.42578125" hidden="1" customWidth="1"/>
    <col min="9" max="9" width="9.140625" customWidth="1"/>
  </cols>
  <sheetData>
    <row r="1" spans="1:6" x14ac:dyDescent="0.25">
      <c r="A1" s="23" t="s">
        <v>55</v>
      </c>
      <c r="B1" s="23" t="s">
        <v>79</v>
      </c>
      <c r="E1" s="216" t="s">
        <v>201</v>
      </c>
    </row>
    <row r="2" spans="1:6" x14ac:dyDescent="0.25">
      <c r="A2" s="22" t="s">
        <v>56</v>
      </c>
      <c r="B2" s="22" t="s">
        <v>57</v>
      </c>
    </row>
    <row r="4" spans="1:6" ht="90" x14ac:dyDescent="0.25">
      <c r="A4" s="24" t="s">
        <v>0</v>
      </c>
      <c r="B4" s="20" t="s">
        <v>137</v>
      </c>
      <c r="C4" s="20" t="s">
        <v>138</v>
      </c>
      <c r="F4" s="28" t="s">
        <v>84</v>
      </c>
    </row>
    <row r="5" spans="1:6" hidden="1" x14ac:dyDescent="0.25">
      <c r="A5" s="14">
        <v>41579</v>
      </c>
      <c r="B5" s="25">
        <v>0.11491999999999999</v>
      </c>
      <c r="C5" s="25">
        <v>0.28892899999999999</v>
      </c>
      <c r="F5" s="96">
        <f>C5/B5</f>
        <v>2.51417507831535</v>
      </c>
    </row>
    <row r="6" spans="1:6" hidden="1" x14ac:dyDescent="0.25">
      <c r="A6" s="14">
        <v>41609</v>
      </c>
      <c r="B6" s="25">
        <v>0.14013100000000001</v>
      </c>
      <c r="C6" s="25">
        <v>0.31473400000000001</v>
      </c>
      <c r="F6" s="96">
        <f t="shared" ref="F6:F39" si="0">C6/B6</f>
        <v>2.2459983872233837</v>
      </c>
    </row>
    <row r="7" spans="1:6" hidden="1" x14ac:dyDescent="0.25">
      <c r="A7" s="14">
        <v>41640</v>
      </c>
      <c r="B7" s="25">
        <v>0.15754599999999999</v>
      </c>
      <c r="C7" s="25">
        <v>0.35601300000000002</v>
      </c>
      <c r="F7" s="96">
        <f t="shared" si="0"/>
        <v>2.2597400124408114</v>
      </c>
    </row>
    <row r="8" spans="1:6" hidden="1" x14ac:dyDescent="0.25">
      <c r="A8" s="14">
        <v>41671</v>
      </c>
      <c r="B8" s="25">
        <v>0.14058899999999999</v>
      </c>
      <c r="C8" s="25">
        <v>0.321266</v>
      </c>
      <c r="F8" s="96">
        <f t="shared" si="0"/>
        <v>2.2851432188862573</v>
      </c>
    </row>
    <row r="9" spans="1:6" hidden="1" x14ac:dyDescent="0.25">
      <c r="A9" s="14">
        <v>41699</v>
      </c>
      <c r="B9" s="25">
        <v>0.15273600000000001</v>
      </c>
      <c r="C9" s="25">
        <v>0.31956299999999999</v>
      </c>
      <c r="F9" s="96">
        <f t="shared" si="0"/>
        <v>2.0922572281583909</v>
      </c>
    </row>
    <row r="10" spans="1:6" hidden="1" x14ac:dyDescent="0.25">
      <c r="A10" s="14">
        <v>41730</v>
      </c>
      <c r="B10" s="25">
        <v>0.16483900000000001</v>
      </c>
      <c r="C10" s="25">
        <v>0.33604899999999999</v>
      </c>
      <c r="F10" s="96">
        <f t="shared" si="0"/>
        <v>2.0386498340805268</v>
      </c>
    </row>
    <row r="11" spans="1:6" hidden="1" x14ac:dyDescent="0.25">
      <c r="A11" s="14">
        <v>41760</v>
      </c>
      <c r="B11" s="25">
        <v>0.16026599999999999</v>
      </c>
      <c r="C11" s="25">
        <v>0.31649500000000003</v>
      </c>
      <c r="F11" s="96">
        <f t="shared" si="0"/>
        <v>1.9748106273320607</v>
      </c>
    </row>
    <row r="12" spans="1:6" hidden="1" x14ac:dyDescent="0.25">
      <c r="A12" s="14">
        <v>41791</v>
      </c>
      <c r="B12" s="25">
        <v>0.14763799999999999</v>
      </c>
      <c r="C12" s="25">
        <v>0.28406700000000001</v>
      </c>
      <c r="F12" s="96">
        <f t="shared" si="0"/>
        <v>1.9240778119454343</v>
      </c>
    </row>
    <row r="13" spans="1:6" hidden="1" x14ac:dyDescent="0.25">
      <c r="A13" s="14">
        <v>41821</v>
      </c>
      <c r="B13" s="25">
        <v>0.14802399999999999</v>
      </c>
      <c r="C13" s="25">
        <v>0.28536099999999998</v>
      </c>
      <c r="F13" s="96">
        <f t="shared" si="0"/>
        <v>1.927802248284062</v>
      </c>
    </row>
    <row r="14" spans="1:6" hidden="1" x14ac:dyDescent="0.25">
      <c r="A14" s="14">
        <v>41852</v>
      </c>
      <c r="B14" s="25">
        <v>0.157363</v>
      </c>
      <c r="C14" s="25">
        <v>0.30434899999999998</v>
      </c>
      <c r="F14" s="96">
        <f t="shared" si="0"/>
        <v>1.9340569257068052</v>
      </c>
    </row>
    <row r="15" spans="1:6" hidden="1" x14ac:dyDescent="0.25">
      <c r="A15" s="14">
        <v>41883</v>
      </c>
      <c r="B15" s="25">
        <v>0.16189700000000001</v>
      </c>
      <c r="C15" s="25">
        <v>0.324488</v>
      </c>
      <c r="F15" s="96">
        <f t="shared" si="0"/>
        <v>2.0042866760965303</v>
      </c>
    </row>
    <row r="16" spans="1:6" hidden="1" x14ac:dyDescent="0.25">
      <c r="A16" s="14">
        <v>41913</v>
      </c>
      <c r="B16" s="25">
        <v>0.16720399999999999</v>
      </c>
      <c r="C16" s="25">
        <v>0.33759499999999998</v>
      </c>
      <c r="F16" s="96">
        <f t="shared" si="0"/>
        <v>2.0190605487906987</v>
      </c>
    </row>
    <row r="17" spans="1:6" hidden="1" x14ac:dyDescent="0.25">
      <c r="A17" s="14">
        <v>41944</v>
      </c>
      <c r="B17" s="25">
        <v>0.141958</v>
      </c>
      <c r="C17" s="25">
        <v>0.30612200000000001</v>
      </c>
      <c r="F17" s="96">
        <f t="shared" si="0"/>
        <v>2.1564265486975023</v>
      </c>
    </row>
    <row r="18" spans="1:6" hidden="1" x14ac:dyDescent="0.25">
      <c r="A18" s="14">
        <v>41974</v>
      </c>
      <c r="B18" s="25">
        <v>0.15570400000000001</v>
      </c>
      <c r="C18" s="25">
        <v>0.319996</v>
      </c>
      <c r="F18" s="96">
        <f t="shared" si="0"/>
        <v>2.055155936905924</v>
      </c>
    </row>
    <row r="19" spans="1:6" hidden="1" x14ac:dyDescent="0.25">
      <c r="A19" s="14">
        <v>42005</v>
      </c>
      <c r="B19" s="25">
        <v>0.152563</v>
      </c>
      <c r="C19" s="25">
        <v>0.31522899999999998</v>
      </c>
      <c r="F19" s="96">
        <f t="shared" si="0"/>
        <v>2.0662218231156961</v>
      </c>
    </row>
    <row r="20" spans="1:6" hidden="1" x14ac:dyDescent="0.25">
      <c r="A20" s="14">
        <v>42036</v>
      </c>
      <c r="B20" s="25">
        <v>0.151477</v>
      </c>
      <c r="C20" s="25">
        <v>0.30510700000000002</v>
      </c>
      <c r="F20" s="96">
        <f t="shared" si="0"/>
        <v>2.0142133789288144</v>
      </c>
    </row>
    <row r="21" spans="1:6" hidden="1" x14ac:dyDescent="0.25">
      <c r="A21" s="14">
        <v>42064</v>
      </c>
      <c r="B21" s="25">
        <v>0.14623800000000001</v>
      </c>
      <c r="C21" s="25">
        <v>0.29702600000000001</v>
      </c>
      <c r="F21" s="96">
        <f t="shared" si="0"/>
        <v>2.0311136640271337</v>
      </c>
    </row>
    <row r="22" spans="1:6" hidden="1" x14ac:dyDescent="0.25">
      <c r="A22" s="14">
        <v>42095</v>
      </c>
      <c r="B22" s="25">
        <v>0.138263</v>
      </c>
      <c r="C22" s="25">
        <v>0.289186</v>
      </c>
      <c r="F22" s="96">
        <f t="shared" si="0"/>
        <v>2.0915646268343666</v>
      </c>
    </row>
    <row r="23" spans="1:6" hidden="1" x14ac:dyDescent="0.25">
      <c r="A23" s="14">
        <v>42125</v>
      </c>
      <c r="B23" s="25">
        <v>0.13628599999999999</v>
      </c>
      <c r="C23" s="25">
        <v>0.276588</v>
      </c>
      <c r="F23" s="96">
        <f t="shared" si="0"/>
        <v>2.0294674434644793</v>
      </c>
    </row>
    <row r="24" spans="1:6" hidden="1" x14ac:dyDescent="0.25">
      <c r="A24" s="14">
        <v>42156</v>
      </c>
      <c r="B24" s="25">
        <v>0.12238599999999999</v>
      </c>
      <c r="C24" s="25">
        <v>0.24155799999999999</v>
      </c>
      <c r="F24" s="96">
        <f t="shared" si="0"/>
        <v>1.9737388263363458</v>
      </c>
    </row>
    <row r="25" spans="1:6" hidden="1" x14ac:dyDescent="0.25">
      <c r="A25" s="14">
        <v>42186</v>
      </c>
      <c r="B25" s="25">
        <v>0.136792</v>
      </c>
      <c r="C25" s="25">
        <v>0.26720699999999997</v>
      </c>
      <c r="F25" s="96">
        <f t="shared" si="0"/>
        <v>1.9533817767120882</v>
      </c>
    </row>
    <row r="26" spans="1:6" hidden="1" x14ac:dyDescent="0.25">
      <c r="A26" s="14">
        <v>42217</v>
      </c>
      <c r="B26" s="25">
        <v>0.14049200000000001</v>
      </c>
      <c r="C26" s="25">
        <v>0.278725</v>
      </c>
      <c r="F26" s="96">
        <f t="shared" si="0"/>
        <v>1.9839207926429974</v>
      </c>
    </row>
    <row r="27" spans="1:6" hidden="1" x14ac:dyDescent="0.25">
      <c r="A27" s="14">
        <v>42248</v>
      </c>
      <c r="B27" s="25">
        <v>0.14083699999999999</v>
      </c>
      <c r="C27" s="25">
        <v>0.28983599999999998</v>
      </c>
      <c r="F27" s="96">
        <f t="shared" si="0"/>
        <v>2.0579535207367381</v>
      </c>
    </row>
    <row r="28" spans="1:6" hidden="1" x14ac:dyDescent="0.25">
      <c r="A28" s="14">
        <v>42278</v>
      </c>
      <c r="B28" s="25">
        <v>0.14111599999999999</v>
      </c>
      <c r="C28" s="25">
        <v>0.291744</v>
      </c>
      <c r="F28" s="96">
        <f t="shared" si="0"/>
        <v>2.0674055387057457</v>
      </c>
    </row>
    <row r="29" spans="1:6" hidden="1" x14ac:dyDescent="0.25">
      <c r="A29" s="14">
        <v>42309</v>
      </c>
      <c r="B29" s="25">
        <v>0.13934099999999999</v>
      </c>
      <c r="C29" s="25">
        <v>0.28956799999999999</v>
      </c>
      <c r="F29" s="96">
        <f t="shared" si="0"/>
        <v>2.0781248878650218</v>
      </c>
    </row>
    <row r="30" spans="1:6" hidden="1" x14ac:dyDescent="0.25">
      <c r="A30" s="14">
        <v>42339</v>
      </c>
      <c r="B30" s="25">
        <v>0.14752199999999999</v>
      </c>
      <c r="C30" s="25">
        <v>0.302678</v>
      </c>
      <c r="F30" s="96">
        <f t="shared" si="0"/>
        <v>2.0517482138257348</v>
      </c>
    </row>
    <row r="31" spans="1:6" hidden="1" x14ac:dyDescent="0.25">
      <c r="A31" s="14">
        <v>42370</v>
      </c>
      <c r="B31" s="25">
        <v>0.14166799999999999</v>
      </c>
      <c r="C31" s="25">
        <v>0.296238</v>
      </c>
      <c r="F31" s="96">
        <f t="shared" si="0"/>
        <v>2.0910720840274446</v>
      </c>
    </row>
    <row r="32" spans="1:6" hidden="1" x14ac:dyDescent="0.25">
      <c r="A32" s="14">
        <v>42401</v>
      </c>
      <c r="B32" s="25">
        <v>0.14480499999999999</v>
      </c>
      <c r="C32" s="25">
        <v>0.29871500000000001</v>
      </c>
      <c r="F32" s="96">
        <f t="shared" si="0"/>
        <v>2.0628776630641208</v>
      </c>
    </row>
    <row r="33" spans="1:6" hidden="1" x14ac:dyDescent="0.25">
      <c r="A33" s="14">
        <v>42430</v>
      </c>
      <c r="B33" s="25">
        <v>0.14351800000000001</v>
      </c>
      <c r="C33" s="25">
        <v>0.29424600000000001</v>
      </c>
      <c r="F33" s="96">
        <f t="shared" si="0"/>
        <v>2.0502376008584289</v>
      </c>
    </row>
    <row r="34" spans="1:6" hidden="1" x14ac:dyDescent="0.25">
      <c r="A34" s="14">
        <v>42461</v>
      </c>
      <c r="B34" s="25">
        <v>0.14793600000000001</v>
      </c>
      <c r="C34" s="25">
        <v>0.302894</v>
      </c>
      <c r="F34" s="96">
        <f t="shared" si="0"/>
        <v>2.0474664719878866</v>
      </c>
    </row>
    <row r="35" spans="1:6" hidden="1" x14ac:dyDescent="0.25">
      <c r="A35" s="14">
        <v>42491</v>
      </c>
      <c r="B35" s="25">
        <v>0.139267</v>
      </c>
      <c r="C35" s="25">
        <v>0.27593200000000001</v>
      </c>
      <c r="F35" s="96">
        <f t="shared" si="0"/>
        <v>1.9813164640582479</v>
      </c>
    </row>
    <row r="36" spans="1:6" hidden="1" x14ac:dyDescent="0.25">
      <c r="A36" s="14">
        <v>42522</v>
      </c>
      <c r="B36" s="25">
        <v>0.14191400000000001</v>
      </c>
      <c r="C36" s="25">
        <v>0.27126699999999998</v>
      </c>
      <c r="F36" s="96">
        <f t="shared" si="0"/>
        <v>1.9114886480544553</v>
      </c>
    </row>
    <row r="37" spans="1:6" hidden="1" x14ac:dyDescent="0.25">
      <c r="A37" s="14">
        <v>42552</v>
      </c>
      <c r="B37" s="25">
        <v>0.13888200000000001</v>
      </c>
      <c r="C37" s="25">
        <v>0.281779</v>
      </c>
      <c r="F37" s="96">
        <f t="shared" si="0"/>
        <v>2.0289094339079217</v>
      </c>
    </row>
    <row r="38" spans="1:6" hidden="1" x14ac:dyDescent="0.25">
      <c r="A38" s="14">
        <v>42583</v>
      </c>
      <c r="B38" s="25">
        <v>0.15337500000000001</v>
      </c>
      <c r="C38" s="25">
        <v>0.31591999999999998</v>
      </c>
      <c r="F38" s="96">
        <f t="shared" si="0"/>
        <v>2.0597881010594943</v>
      </c>
    </row>
    <row r="39" spans="1:6" hidden="1" x14ac:dyDescent="0.25">
      <c r="A39" s="14">
        <v>42614</v>
      </c>
      <c r="B39" s="25">
        <v>0.14744099999999999</v>
      </c>
      <c r="C39" s="25">
        <v>0.31104300000000001</v>
      </c>
      <c r="F39" s="96">
        <f t="shared" si="0"/>
        <v>2.1096099456731849</v>
      </c>
    </row>
    <row r="40" spans="1:6" hidden="1" x14ac:dyDescent="0.25">
      <c r="A40" s="14">
        <v>42644</v>
      </c>
      <c r="B40" s="25">
        <v>0.13972899999999999</v>
      </c>
      <c r="C40" s="25">
        <v>0.30178100000000002</v>
      </c>
      <c r="F40" s="96">
        <f>C40/B40</f>
        <v>2.1597592482591303</v>
      </c>
    </row>
    <row r="41" spans="1:6" hidden="1" x14ac:dyDescent="0.25">
      <c r="A41" s="14">
        <v>42675</v>
      </c>
      <c r="B41" s="25">
        <v>0.14069999999999999</v>
      </c>
      <c r="C41" s="25">
        <v>0.30149999999999999</v>
      </c>
      <c r="F41" s="96">
        <f t="shared" ref="F41:F50" si="1">C41/B41</f>
        <v>2.1428571428571428</v>
      </c>
    </row>
    <row r="42" spans="1:6" hidden="1" x14ac:dyDescent="0.25">
      <c r="A42" s="14">
        <v>42705</v>
      </c>
      <c r="B42" s="25">
        <v>0.15910000000000002</v>
      </c>
      <c r="C42" s="25">
        <v>0.33740000000000003</v>
      </c>
      <c r="F42" s="96">
        <f t="shared" si="1"/>
        <v>2.120678818353237</v>
      </c>
    </row>
    <row r="43" spans="1:6" hidden="1" x14ac:dyDescent="0.25">
      <c r="A43" s="14">
        <v>42736</v>
      </c>
      <c r="B43" s="25">
        <v>0.15179999999999999</v>
      </c>
      <c r="C43" s="25">
        <v>0.3206</v>
      </c>
      <c r="F43" s="96">
        <f t="shared" si="1"/>
        <v>2.1119894598155469</v>
      </c>
    </row>
    <row r="44" spans="1:6" hidden="1" x14ac:dyDescent="0.25">
      <c r="A44" s="14">
        <v>42767</v>
      </c>
      <c r="B44" s="25">
        <v>0.159</v>
      </c>
      <c r="C44" s="25">
        <v>0.32889999999999997</v>
      </c>
      <c r="F44" s="96">
        <f t="shared" si="1"/>
        <v>2.0685534591194967</v>
      </c>
    </row>
    <row r="45" spans="1:6" hidden="1" x14ac:dyDescent="0.25">
      <c r="A45" s="14">
        <v>42795</v>
      </c>
      <c r="B45" s="25">
        <v>0.16290000000000002</v>
      </c>
      <c r="C45" s="25">
        <v>0.3352</v>
      </c>
      <c r="F45" s="96">
        <f t="shared" si="1"/>
        <v>2.0577041129527314</v>
      </c>
    </row>
    <row r="46" spans="1:6" hidden="1" x14ac:dyDescent="0.25">
      <c r="A46" s="14">
        <v>42826</v>
      </c>
      <c r="B46" s="25">
        <v>0.158</v>
      </c>
      <c r="C46" s="25">
        <v>0.32380000000000003</v>
      </c>
      <c r="F46" s="96">
        <f t="shared" si="1"/>
        <v>2.0493670886075952</v>
      </c>
    </row>
    <row r="47" spans="1:6" hidden="1" x14ac:dyDescent="0.25">
      <c r="A47" s="14">
        <v>42856</v>
      </c>
      <c r="B47" s="25">
        <v>0.15870000000000001</v>
      </c>
      <c r="C47" s="25">
        <v>0.32299999999999995</v>
      </c>
      <c r="F47" s="96">
        <f t="shared" si="1"/>
        <v>2.0352867044738496</v>
      </c>
    </row>
    <row r="48" spans="1:6" hidden="1" x14ac:dyDescent="0.25">
      <c r="A48" s="14">
        <v>42887</v>
      </c>
      <c r="B48" s="25">
        <v>0.16020000000000001</v>
      </c>
      <c r="C48" s="25">
        <v>0.31319999999999998</v>
      </c>
      <c r="F48" s="96">
        <f t="shared" si="1"/>
        <v>1.9550561797752806</v>
      </c>
    </row>
    <row r="49" spans="1:6" hidden="1" x14ac:dyDescent="0.25">
      <c r="A49" s="14">
        <v>42917</v>
      </c>
      <c r="B49" s="25">
        <v>0.158888</v>
      </c>
      <c r="C49" s="25">
        <v>0.30704300000000001</v>
      </c>
      <c r="F49" s="96">
        <f t="shared" si="1"/>
        <v>1.9324492724434823</v>
      </c>
    </row>
    <row r="50" spans="1:6" hidden="1" x14ac:dyDescent="0.25">
      <c r="A50" s="14">
        <v>42948</v>
      </c>
      <c r="B50" s="25">
        <v>0.16734399999999999</v>
      </c>
      <c r="C50" s="25">
        <v>0.32919700000000002</v>
      </c>
      <c r="F50" s="96">
        <f t="shared" si="1"/>
        <v>1.9671873506071329</v>
      </c>
    </row>
    <row r="51" spans="1:6" hidden="1" x14ac:dyDescent="0.25">
      <c r="A51" s="14">
        <v>42979</v>
      </c>
      <c r="B51" s="25">
        <v>0.16395899999999999</v>
      </c>
      <c r="C51" s="25">
        <v>0.32841199999999998</v>
      </c>
      <c r="F51" s="96">
        <f t="shared" ref="F51:F70" si="2">C51/B51</f>
        <v>2.0030129483590411</v>
      </c>
    </row>
    <row r="52" spans="1:6" hidden="1" x14ac:dyDescent="0.25">
      <c r="A52" s="14">
        <v>43009</v>
      </c>
      <c r="B52" s="25">
        <v>0.15711800000000001</v>
      </c>
      <c r="C52" s="25">
        <v>0.31939600000000001</v>
      </c>
      <c r="F52" s="96">
        <f t="shared" si="2"/>
        <v>2.0328415585738107</v>
      </c>
    </row>
    <row r="53" spans="1:6" hidden="1" x14ac:dyDescent="0.25">
      <c r="A53" s="14">
        <v>43040</v>
      </c>
      <c r="B53" s="25">
        <v>0.16409899999999999</v>
      </c>
      <c r="C53" s="25">
        <v>0.335642</v>
      </c>
      <c r="F53" s="96">
        <f t="shared" si="2"/>
        <v>2.0453628602246203</v>
      </c>
    </row>
    <row r="54" spans="1:6" hidden="1" x14ac:dyDescent="0.25">
      <c r="A54" s="14">
        <v>43070</v>
      </c>
      <c r="B54" s="25">
        <v>0.159333</v>
      </c>
      <c r="C54" s="25">
        <v>0.320606</v>
      </c>
      <c r="F54" s="96">
        <f t="shared" si="2"/>
        <v>2.0121757576898696</v>
      </c>
    </row>
    <row r="55" spans="1:6" hidden="1" x14ac:dyDescent="0.25">
      <c r="A55" s="14">
        <v>43101</v>
      </c>
      <c r="B55" s="25">
        <v>0.16988700000000001</v>
      </c>
      <c r="C55" s="25">
        <v>0.34370099999999998</v>
      </c>
      <c r="F55" s="96">
        <f t="shared" si="2"/>
        <v>2.0231153649190343</v>
      </c>
    </row>
    <row r="56" spans="1:6" hidden="1" x14ac:dyDescent="0.25">
      <c r="A56" s="14">
        <v>43132</v>
      </c>
      <c r="B56" s="25">
        <v>0.16858100000000001</v>
      </c>
      <c r="C56" s="25">
        <v>0.33840799999999999</v>
      </c>
      <c r="F56" s="96">
        <f t="shared" si="2"/>
        <v>2.0073911057592491</v>
      </c>
    </row>
    <row r="57" spans="1:6" hidden="1" x14ac:dyDescent="0.25">
      <c r="A57" s="14">
        <v>43160</v>
      </c>
      <c r="B57" s="25">
        <v>0.17061799999999999</v>
      </c>
      <c r="C57" s="25">
        <v>0.34012500000000001</v>
      </c>
      <c r="F57" s="96">
        <f t="shared" si="2"/>
        <v>1.9934883775451595</v>
      </c>
    </row>
    <row r="58" spans="1:6" hidden="1" x14ac:dyDescent="0.25">
      <c r="A58" s="14">
        <v>43191</v>
      </c>
      <c r="B58" s="25">
        <v>0.16058</v>
      </c>
      <c r="C58" s="25">
        <v>0.317523</v>
      </c>
      <c r="F58" s="96">
        <f t="shared" si="2"/>
        <v>1.9773508531573047</v>
      </c>
    </row>
    <row r="59" spans="1:6" hidden="1" x14ac:dyDescent="0.25">
      <c r="A59" s="14">
        <v>43221</v>
      </c>
      <c r="B59" s="25">
        <v>0.16197400000000001</v>
      </c>
      <c r="C59" s="25">
        <v>0.31332300000000002</v>
      </c>
      <c r="F59" s="96">
        <f t="shared" si="2"/>
        <v>1.9344030523417339</v>
      </c>
    </row>
    <row r="60" spans="1:6" hidden="1" x14ac:dyDescent="0.25">
      <c r="A60" s="14">
        <v>43252</v>
      </c>
      <c r="B60" s="25">
        <v>0.16020999999999999</v>
      </c>
      <c r="C60" s="25">
        <v>0.29991600000000002</v>
      </c>
      <c r="F60" s="96">
        <f t="shared" si="2"/>
        <v>1.8720179764059675</v>
      </c>
    </row>
    <row r="61" spans="1:6" hidden="1" x14ac:dyDescent="0.25">
      <c r="A61" s="14">
        <v>43282</v>
      </c>
      <c r="B61" s="25">
        <v>0.16223000000000001</v>
      </c>
      <c r="C61" s="25">
        <v>0.30474099999999998</v>
      </c>
      <c r="F61" s="96">
        <f t="shared" si="2"/>
        <v>1.8784503482709731</v>
      </c>
    </row>
    <row r="62" spans="1:6" hidden="1" x14ac:dyDescent="0.25">
      <c r="A62" s="14">
        <v>43313</v>
      </c>
      <c r="B62" s="25">
        <v>0.16886200000000001</v>
      </c>
      <c r="C62" s="25">
        <v>0.31771899999999997</v>
      </c>
      <c r="F62" s="96">
        <f t="shared" si="2"/>
        <v>1.8815304805107127</v>
      </c>
    </row>
    <row r="63" spans="1:6" hidden="1" x14ac:dyDescent="0.25">
      <c r="A63" s="14">
        <v>43344</v>
      </c>
      <c r="B63" s="25">
        <v>0.17102800000000001</v>
      </c>
      <c r="C63" s="25">
        <v>0.33010099999999998</v>
      </c>
      <c r="F63" s="96">
        <f t="shared" si="2"/>
        <v>1.9300991650489976</v>
      </c>
    </row>
    <row r="64" spans="1:6" hidden="1" x14ac:dyDescent="0.25">
      <c r="A64" s="14">
        <v>43374</v>
      </c>
      <c r="B64" s="25">
        <v>0.15296599999999999</v>
      </c>
      <c r="C64" s="25">
        <v>0.30055100000000001</v>
      </c>
      <c r="F64" s="96">
        <f t="shared" si="2"/>
        <v>1.9648222480812731</v>
      </c>
    </row>
    <row r="65" spans="1:10" hidden="1" x14ac:dyDescent="0.25">
      <c r="A65" s="14">
        <v>43405</v>
      </c>
      <c r="B65" s="25">
        <v>0.15087700000000001</v>
      </c>
      <c r="C65" s="25">
        <v>0.29690499999999997</v>
      </c>
      <c r="F65" s="96">
        <f t="shared" si="2"/>
        <v>1.9678612379620481</v>
      </c>
      <c r="J65" s="223"/>
    </row>
    <row r="66" spans="1:10" hidden="1" x14ac:dyDescent="0.25">
      <c r="A66" s="14">
        <v>43435</v>
      </c>
      <c r="B66" s="25">
        <v>0.14487800000000001</v>
      </c>
      <c r="C66" s="25">
        <v>0.28275400000000001</v>
      </c>
      <c r="F66" s="96">
        <f t="shared" si="2"/>
        <v>1.9516696806968621</v>
      </c>
      <c r="J66" s="223"/>
    </row>
    <row r="67" spans="1:10" hidden="1" x14ac:dyDescent="0.25">
      <c r="A67" s="14">
        <v>43466</v>
      </c>
      <c r="B67" s="25">
        <v>0.17676</v>
      </c>
      <c r="C67" s="25">
        <v>0.34120299999999998</v>
      </c>
      <c r="F67" s="96">
        <f t="shared" si="2"/>
        <v>1.9303179452364787</v>
      </c>
      <c r="J67" s="223"/>
    </row>
    <row r="68" spans="1:10" hidden="1" x14ac:dyDescent="0.25">
      <c r="A68" s="14">
        <v>43497</v>
      </c>
      <c r="B68" s="25">
        <v>0.158163</v>
      </c>
      <c r="C68" s="25">
        <v>0.30865799999999999</v>
      </c>
      <c r="F68" s="96">
        <f t="shared" si="2"/>
        <v>1.9515183702888792</v>
      </c>
      <c r="J68" s="223"/>
    </row>
    <row r="69" spans="1:10" hidden="1" x14ac:dyDescent="0.25">
      <c r="A69" s="14">
        <v>43525</v>
      </c>
      <c r="B69" s="25">
        <v>0.15521299999999999</v>
      </c>
      <c r="C69" s="25">
        <v>0.29896400000000001</v>
      </c>
      <c r="F69" s="96">
        <f t="shared" si="2"/>
        <v>1.9261530928466044</v>
      </c>
      <c r="J69" s="223"/>
    </row>
    <row r="70" spans="1:10" hidden="1" x14ac:dyDescent="0.25">
      <c r="A70" s="14">
        <v>43556</v>
      </c>
      <c r="B70" s="25">
        <v>0.16711100000000001</v>
      </c>
      <c r="C70" s="25">
        <v>0.31870500000000002</v>
      </c>
      <c r="F70" s="96">
        <f t="shared" si="2"/>
        <v>1.9071455499637966</v>
      </c>
      <c r="J70" s="223"/>
    </row>
    <row r="71" spans="1:10" hidden="1" x14ac:dyDescent="0.25">
      <c r="A71" s="14">
        <v>43586</v>
      </c>
      <c r="B71" s="25">
        <v>0.16348799999999999</v>
      </c>
      <c r="C71" s="25">
        <v>0.30765100000000001</v>
      </c>
      <c r="F71" s="96">
        <f t="shared" ref="F71:F78" si="3">C71/B71</f>
        <v>1.8817956057936975</v>
      </c>
      <c r="J71" s="223"/>
    </row>
    <row r="72" spans="1:10" hidden="1" x14ac:dyDescent="0.25">
      <c r="A72" s="14">
        <v>43617</v>
      </c>
      <c r="B72" s="25">
        <v>0.161908</v>
      </c>
      <c r="C72" s="25">
        <v>0.297707</v>
      </c>
      <c r="F72" s="96">
        <f t="shared" si="3"/>
        <v>1.8387417545766731</v>
      </c>
      <c r="J72" s="223"/>
    </row>
    <row r="73" spans="1:10" hidden="1" x14ac:dyDescent="0.25">
      <c r="A73" s="14">
        <v>43647</v>
      </c>
      <c r="B73" s="25">
        <v>0.162604</v>
      </c>
      <c r="C73" s="25">
        <v>0.29565799999999998</v>
      </c>
      <c r="F73" s="96">
        <f t="shared" si="3"/>
        <v>1.8182701532557624</v>
      </c>
      <c r="J73" s="223"/>
    </row>
    <row r="74" spans="1:10" hidden="1" x14ac:dyDescent="0.25">
      <c r="A74" s="14">
        <v>43678</v>
      </c>
      <c r="B74" s="25">
        <v>0.16148399999999999</v>
      </c>
      <c r="C74" s="25">
        <v>0.29683100000000001</v>
      </c>
      <c r="F74" s="96">
        <f t="shared" si="3"/>
        <v>1.838144955537391</v>
      </c>
      <c r="J74" s="223"/>
    </row>
    <row r="75" spans="1:10" hidden="1" x14ac:dyDescent="0.25">
      <c r="A75" s="14">
        <v>43709</v>
      </c>
      <c r="B75" s="25">
        <v>0.156385</v>
      </c>
      <c r="C75" s="25">
        <v>0.29170699999999999</v>
      </c>
      <c r="F75" s="96">
        <f t="shared" si="3"/>
        <v>1.8653131694216196</v>
      </c>
      <c r="J75" s="223"/>
    </row>
    <row r="76" spans="1:10" hidden="1" x14ac:dyDescent="0.25">
      <c r="A76" s="14">
        <v>43739</v>
      </c>
      <c r="B76" s="25">
        <v>0.16267400000000001</v>
      </c>
      <c r="C76" s="25">
        <v>0.30843100000000001</v>
      </c>
      <c r="F76" s="96">
        <f t="shared" si="3"/>
        <v>1.8960067374011826</v>
      </c>
      <c r="J76" s="223"/>
    </row>
    <row r="77" spans="1:10" hidden="1" x14ac:dyDescent="0.25">
      <c r="A77" s="14">
        <v>43770</v>
      </c>
      <c r="B77" s="25">
        <v>0.15013699999999999</v>
      </c>
      <c r="C77" s="25">
        <v>0.28042099999999998</v>
      </c>
      <c r="F77" s="96">
        <f t="shared" si="3"/>
        <v>1.8677674390723138</v>
      </c>
      <c r="J77" s="223"/>
    </row>
    <row r="78" spans="1:10" hidden="1" x14ac:dyDescent="0.25">
      <c r="A78" s="14">
        <v>43800</v>
      </c>
      <c r="B78" s="25">
        <v>0.166405</v>
      </c>
      <c r="C78" s="25">
        <v>0.30911699999999998</v>
      </c>
      <c r="F78" s="96">
        <f t="shared" si="3"/>
        <v>1.8576184609837443</v>
      </c>
      <c r="J78" s="223"/>
    </row>
    <row r="79" spans="1:10" hidden="1" x14ac:dyDescent="0.25">
      <c r="A79" s="14">
        <v>43831</v>
      </c>
      <c r="B79" s="25">
        <v>0.161465</v>
      </c>
      <c r="C79" s="25">
        <v>0.301149</v>
      </c>
      <c r="F79" s="96">
        <f t="shared" ref="F79:F119" si="4">C79/B79</f>
        <v>1.8651038924844394</v>
      </c>
      <c r="J79" s="223"/>
    </row>
    <row r="80" spans="1:10" hidden="1" x14ac:dyDescent="0.25">
      <c r="A80" s="14">
        <v>43862</v>
      </c>
      <c r="B80" s="25">
        <v>0.17650199999999999</v>
      </c>
      <c r="C80" s="25">
        <v>0.32792900000000003</v>
      </c>
      <c r="F80" s="96">
        <f t="shared" si="4"/>
        <v>1.8579336211487691</v>
      </c>
      <c r="J80" s="223"/>
    </row>
    <row r="81" spans="1:10" hidden="1" x14ac:dyDescent="0.25">
      <c r="A81" s="14">
        <v>43891</v>
      </c>
      <c r="B81" s="25">
        <v>0.13070599999999999</v>
      </c>
      <c r="C81" s="25">
        <v>0.23910200000000001</v>
      </c>
      <c r="F81" s="96">
        <f t="shared" si="4"/>
        <v>1.8293115847780517</v>
      </c>
      <c r="J81" s="223"/>
    </row>
    <row r="82" spans="1:10" hidden="1" x14ac:dyDescent="0.25">
      <c r="A82" s="14">
        <v>43922</v>
      </c>
      <c r="B82" s="25">
        <v>0.16373499999999999</v>
      </c>
      <c r="C82" s="25">
        <v>0.29805599999999999</v>
      </c>
      <c r="F82" s="96">
        <f t="shared" si="4"/>
        <v>1.8203560631508231</v>
      </c>
      <c r="J82" s="223"/>
    </row>
    <row r="83" spans="1:10" hidden="1" x14ac:dyDescent="0.25">
      <c r="A83" s="14">
        <v>43952</v>
      </c>
      <c r="B83" s="25">
        <v>0.169212</v>
      </c>
      <c r="C83" s="25">
        <v>0.30066599999999999</v>
      </c>
      <c r="F83" s="96">
        <f t="shared" si="4"/>
        <v>1.7768597971775051</v>
      </c>
      <c r="J83" s="223"/>
    </row>
    <row r="84" spans="1:10" hidden="1" x14ac:dyDescent="0.25">
      <c r="A84" s="14">
        <v>43983</v>
      </c>
      <c r="B84" s="25">
        <v>0.17830799999999999</v>
      </c>
      <c r="C84" s="25">
        <v>0.31653199999999998</v>
      </c>
      <c r="F84" s="96">
        <f t="shared" si="4"/>
        <v>1.7751979720483657</v>
      </c>
      <c r="J84" s="223"/>
    </row>
    <row r="85" spans="1:10" hidden="1" x14ac:dyDescent="0.25">
      <c r="A85" s="14">
        <v>44013</v>
      </c>
      <c r="B85" s="25">
        <v>0.18218599999999999</v>
      </c>
      <c r="C85" s="25">
        <v>0.31456600000000001</v>
      </c>
      <c r="F85" s="96">
        <f t="shared" si="4"/>
        <v>1.7266200476436171</v>
      </c>
      <c r="J85" s="223"/>
    </row>
    <row r="86" spans="1:10" hidden="1" x14ac:dyDescent="0.25">
      <c r="A86" s="14">
        <v>44044</v>
      </c>
      <c r="B86" s="25">
        <v>0.172039</v>
      </c>
      <c r="C86" s="25">
        <v>0.30146099999999998</v>
      </c>
      <c r="F86" s="96">
        <f t="shared" si="4"/>
        <v>1.7522829125953998</v>
      </c>
      <c r="J86" s="223"/>
    </row>
    <row r="87" spans="1:10" hidden="1" x14ac:dyDescent="0.25">
      <c r="A87" s="14">
        <v>44075</v>
      </c>
      <c r="B87" s="25">
        <v>0.163302</v>
      </c>
      <c r="C87" s="25">
        <v>0.29368100000000003</v>
      </c>
      <c r="F87" s="96">
        <f t="shared" si="4"/>
        <v>1.7983919364122916</v>
      </c>
      <c r="J87" s="223"/>
    </row>
    <row r="88" spans="1:10" hidden="1" x14ac:dyDescent="0.25">
      <c r="A88" s="14">
        <v>44105</v>
      </c>
      <c r="B88" s="25">
        <v>0.160167</v>
      </c>
      <c r="C88" s="25">
        <v>0.29680899999999999</v>
      </c>
      <c r="F88" s="96">
        <f t="shared" si="4"/>
        <v>1.8531220538562874</v>
      </c>
      <c r="J88" s="223"/>
    </row>
    <row r="89" spans="1:10" hidden="1" x14ac:dyDescent="0.25">
      <c r="A89" s="14">
        <v>44136</v>
      </c>
      <c r="B89" s="25">
        <v>0.15969</v>
      </c>
      <c r="C89" s="25">
        <v>0.29976000000000003</v>
      </c>
      <c r="F89" s="96">
        <f t="shared" si="4"/>
        <v>1.8771369528461397</v>
      </c>
      <c r="J89" s="223"/>
    </row>
    <row r="90" spans="1:10" hidden="1"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5">
        <f t="shared" si="4"/>
        <v>1.7983983161785466</v>
      </c>
      <c r="J113" s="223"/>
    </row>
    <row r="114" spans="1:10" x14ac:dyDescent="0.25">
      <c r="A114" s="14">
        <v>44896</v>
      </c>
      <c r="B114" s="25">
        <v>0.13656199999999999</v>
      </c>
      <c r="C114" s="25">
        <v>0.24711</v>
      </c>
      <c r="F114" s="255">
        <f t="shared" si="4"/>
        <v>1.8095077693648307</v>
      </c>
    </row>
    <row r="115" spans="1:10" x14ac:dyDescent="0.25">
      <c r="A115" s="14">
        <v>44927</v>
      </c>
      <c r="B115" s="25">
        <v>0.22236600000000001</v>
      </c>
      <c r="C115" s="25">
        <v>0.392758</v>
      </c>
      <c r="F115" s="255">
        <f t="shared" si="4"/>
        <v>1.7662682244587751</v>
      </c>
    </row>
    <row r="116" spans="1:10" x14ac:dyDescent="0.25">
      <c r="A116" s="14">
        <v>44958</v>
      </c>
      <c r="B116" s="25">
        <v>0.190855</v>
      </c>
      <c r="C116" s="25">
        <v>0.319992</v>
      </c>
      <c r="F116" s="255">
        <f t="shared" si="4"/>
        <v>1.6766236147860942</v>
      </c>
    </row>
    <row r="117" spans="1:10" x14ac:dyDescent="0.25">
      <c r="A117" s="14">
        <v>44986</v>
      </c>
      <c r="B117" s="25">
        <v>0.19927400000000001</v>
      </c>
      <c r="C117" s="25">
        <v>0.35046500000000003</v>
      </c>
      <c r="F117" s="255">
        <f t="shared" si="4"/>
        <v>1.7587091140841256</v>
      </c>
    </row>
    <row r="118" spans="1:10" x14ac:dyDescent="0.25">
      <c r="A118" s="14">
        <v>45017</v>
      </c>
      <c r="B118" s="25">
        <v>0.23678299999999999</v>
      </c>
      <c r="C118" s="25">
        <v>0.41017100000000001</v>
      </c>
      <c r="F118" s="255">
        <f t="shared" si="4"/>
        <v>1.7322654075672663</v>
      </c>
    </row>
    <row r="119" spans="1:10" x14ac:dyDescent="0.25">
      <c r="A119" s="14">
        <v>45047</v>
      </c>
      <c r="B119" s="25">
        <v>0.21531</v>
      </c>
      <c r="C119" s="25">
        <v>0.361763</v>
      </c>
      <c r="F119" s="255">
        <f t="shared" si="4"/>
        <v>1.6801959964702058</v>
      </c>
    </row>
    <row r="120" spans="1:10" x14ac:dyDescent="0.25">
      <c r="A120" s="14">
        <v>45078</v>
      </c>
      <c r="B120" s="25">
        <v>0.29416700000000001</v>
      </c>
      <c r="C120" s="25">
        <v>0.48411900000000002</v>
      </c>
      <c r="F120" s="255">
        <f t="shared" ref="F120" si="6">C120/B120</f>
        <v>1.6457284467666327</v>
      </c>
    </row>
    <row r="121" spans="1:10" x14ac:dyDescent="0.25">
      <c r="A121" s="14">
        <v>45108</v>
      </c>
      <c r="B121" s="25">
        <v>0.22546099999999999</v>
      </c>
      <c r="C121" s="25">
        <v>0.38143899999999997</v>
      </c>
      <c r="F121" s="255">
        <f t="shared" ref="F121:F143" si="7">C121/B121</f>
        <v>1.6918180971431866</v>
      </c>
    </row>
    <row r="122" spans="1:10" x14ac:dyDescent="0.25">
      <c r="A122" s="14">
        <v>45139</v>
      </c>
      <c r="B122" s="25">
        <v>0.31855699999999998</v>
      </c>
      <c r="C122" s="25">
        <v>0.56603999999999999</v>
      </c>
      <c r="F122" s="255">
        <f t="shared" si="7"/>
        <v>1.7768876527591608</v>
      </c>
    </row>
    <row r="123" spans="1:10" x14ac:dyDescent="0.25">
      <c r="A123" s="14">
        <v>45170</v>
      </c>
      <c r="B123" s="25">
        <v>0.28491499999999997</v>
      </c>
      <c r="C123" s="25">
        <v>0.47492000000000001</v>
      </c>
      <c r="F123" s="255">
        <f t="shared" si="7"/>
        <v>1.6668831054876017</v>
      </c>
    </row>
    <row r="124" spans="1:10" x14ac:dyDescent="0.25">
      <c r="A124" s="14">
        <v>45200</v>
      </c>
      <c r="B124" s="25">
        <v>0.189442</v>
      </c>
      <c r="C124" s="25">
        <v>0.330953</v>
      </c>
      <c r="F124" s="255">
        <f t="shared" si="7"/>
        <v>1.746988524192101</v>
      </c>
    </row>
    <row r="125" spans="1:10" x14ac:dyDescent="0.25">
      <c r="A125" s="14">
        <v>45231</v>
      </c>
      <c r="B125" s="25">
        <v>0.200434</v>
      </c>
      <c r="C125" s="25">
        <v>0.35803600000000002</v>
      </c>
      <c r="F125" s="255">
        <f t="shared" si="7"/>
        <v>1.7863037209255916</v>
      </c>
    </row>
    <row r="126" spans="1:10" x14ac:dyDescent="0.25">
      <c r="A126" s="14">
        <v>45261</v>
      </c>
      <c r="B126" s="25">
        <v>0.179337</v>
      </c>
      <c r="C126" s="25">
        <v>0.31408700000000001</v>
      </c>
      <c r="F126" s="255">
        <f t="shared" si="7"/>
        <v>1.7513786892833048</v>
      </c>
    </row>
    <row r="127" spans="1:10" x14ac:dyDescent="0.25">
      <c r="A127" s="14">
        <v>45292</v>
      </c>
      <c r="B127" s="25">
        <v>0.19153300000000001</v>
      </c>
      <c r="C127" s="25">
        <v>0.33412700000000001</v>
      </c>
      <c r="F127" s="255">
        <f t="shared" si="7"/>
        <v>1.7444878950363645</v>
      </c>
    </row>
    <row r="128" spans="1:10" x14ac:dyDescent="0.25">
      <c r="A128" s="14">
        <v>45323</v>
      </c>
      <c r="B128" s="25">
        <v>0.194215</v>
      </c>
      <c r="C128" s="25">
        <v>0.33216299999999999</v>
      </c>
      <c r="F128" s="255">
        <f t="shared" si="7"/>
        <v>1.7102849934351105</v>
      </c>
    </row>
    <row r="129" spans="1:6" x14ac:dyDescent="0.25">
      <c r="A129" s="14">
        <v>45352</v>
      </c>
      <c r="B129" s="25">
        <v>0.20252700000000001</v>
      </c>
      <c r="C129" s="25">
        <v>0.34077000000000002</v>
      </c>
      <c r="F129" s="255">
        <f t="shared" si="7"/>
        <v>1.6825904694188922</v>
      </c>
    </row>
    <row r="130" spans="1:6" x14ac:dyDescent="0.25">
      <c r="A130" s="14">
        <v>45383</v>
      </c>
      <c r="B130" s="25">
        <v>0.16612399999999999</v>
      </c>
      <c r="C130" s="25">
        <v>0.28236</v>
      </c>
      <c r="F130" s="255">
        <f t="shared" si="7"/>
        <v>1.6996942043292962</v>
      </c>
    </row>
    <row r="131" spans="1:6" x14ac:dyDescent="0.25">
      <c r="A131" s="14">
        <v>45413</v>
      </c>
      <c r="B131" s="25">
        <v>0.169932</v>
      </c>
      <c r="C131" s="25">
        <v>0.28758</v>
      </c>
      <c r="F131" s="255">
        <f t="shared" si="7"/>
        <v>1.692323988418897</v>
      </c>
    </row>
    <row r="132" spans="1:6" x14ac:dyDescent="0.25">
      <c r="A132" s="14">
        <v>45444</v>
      </c>
      <c r="B132" s="25">
        <v>0.18463499999999999</v>
      </c>
      <c r="C132" s="25">
        <v>0.30538700000000002</v>
      </c>
      <c r="F132" s="255">
        <f t="shared" si="7"/>
        <v>1.6540038454247572</v>
      </c>
    </row>
    <row r="133" spans="1:6" x14ac:dyDescent="0.25">
      <c r="A133" s="14">
        <v>45474</v>
      </c>
      <c r="B133" s="25">
        <v>0.180337</v>
      </c>
      <c r="C133" s="25">
        <v>0.29386800000000002</v>
      </c>
      <c r="F133" s="255">
        <f t="shared" si="7"/>
        <v>1.6295491219217355</v>
      </c>
    </row>
    <row r="134" spans="1:6" x14ac:dyDescent="0.25">
      <c r="A134" s="14">
        <v>45505</v>
      </c>
      <c r="B134" s="25">
        <v>0.17039399999999999</v>
      </c>
      <c r="C134" s="25">
        <v>0.27133800000000002</v>
      </c>
      <c r="F134" s="255">
        <f t="shared" si="7"/>
        <v>1.5924152258882358</v>
      </c>
    </row>
    <row r="135" spans="1:6" x14ac:dyDescent="0.25">
      <c r="A135" s="14">
        <v>45536</v>
      </c>
      <c r="B135" s="25">
        <v>0.15028</v>
      </c>
      <c r="C135" s="25">
        <v>0.24710799999999999</v>
      </c>
      <c r="F135" s="255">
        <f t="shared" si="7"/>
        <v>1.6443172744210806</v>
      </c>
    </row>
    <row r="136" spans="1:6" x14ac:dyDescent="0.25">
      <c r="A136" s="14">
        <v>45566</v>
      </c>
      <c r="B136" s="25">
        <v>0.15873399999999999</v>
      </c>
      <c r="C136" s="25">
        <v>0.26858500000000002</v>
      </c>
      <c r="F136" s="255">
        <f t="shared" si="7"/>
        <v>1.6920445525218293</v>
      </c>
    </row>
    <row r="137" spans="1:6" x14ac:dyDescent="0.25">
      <c r="A137" s="14">
        <v>45597</v>
      </c>
      <c r="B137" s="25">
        <v>0.13459399999999999</v>
      </c>
      <c r="C137" s="25">
        <v>0.22809399999999999</v>
      </c>
      <c r="F137" s="255">
        <f t="shared" si="7"/>
        <v>1.6946817837347876</v>
      </c>
    </row>
    <row r="138" spans="1:6" x14ac:dyDescent="0.25">
      <c r="A138" s="14">
        <v>45627</v>
      </c>
      <c r="B138" s="25">
        <v>0.156751</v>
      </c>
      <c r="C138" s="25">
        <v>0.264677</v>
      </c>
      <c r="F138" s="255">
        <f t="shared" si="7"/>
        <v>1.6885187335328005</v>
      </c>
    </row>
    <row r="139" spans="1:6" x14ac:dyDescent="0.25">
      <c r="A139" s="14">
        <v>45658</v>
      </c>
      <c r="B139" s="25">
        <v>0.16590299999999999</v>
      </c>
      <c r="C139" s="25">
        <v>0.27596700000000002</v>
      </c>
      <c r="F139" s="255">
        <f t="shared" si="7"/>
        <v>1.6634238078877417</v>
      </c>
    </row>
    <row r="140" spans="1:6" x14ac:dyDescent="0.25">
      <c r="A140" s="14">
        <v>45689</v>
      </c>
      <c r="B140" s="25">
        <v>0.13581499999999999</v>
      </c>
      <c r="C140" s="25">
        <v>0.22577900000000001</v>
      </c>
      <c r="F140" s="255">
        <f t="shared" si="7"/>
        <v>1.6624010602658028</v>
      </c>
    </row>
    <row r="141" spans="1:6" x14ac:dyDescent="0.25">
      <c r="A141" s="14">
        <v>45717</v>
      </c>
      <c r="B141" s="25">
        <v>0.13731599999999999</v>
      </c>
      <c r="C141" s="25">
        <v>0.22591700000000001</v>
      </c>
      <c r="F141" s="255">
        <f t="shared" si="7"/>
        <v>1.6452343499665008</v>
      </c>
    </row>
    <row r="142" spans="1:6" x14ac:dyDescent="0.25">
      <c r="A142" s="14">
        <v>45748</v>
      </c>
      <c r="B142" s="25">
        <v>0.164406</v>
      </c>
      <c r="C142" s="25">
        <v>0.26031599999999999</v>
      </c>
      <c r="F142" s="255">
        <f t="shared" si="7"/>
        <v>1.5833728696032991</v>
      </c>
    </row>
    <row r="143" spans="1:6" x14ac:dyDescent="0.25">
      <c r="A143" s="14">
        <v>45778</v>
      </c>
      <c r="B143" s="25">
        <v>0.22048799999999999</v>
      </c>
      <c r="C143" s="25">
        <v>0.36788999999999999</v>
      </c>
      <c r="F143" s="255">
        <f t="shared" si="7"/>
        <v>1.6685261782954175</v>
      </c>
    </row>
    <row r="144" spans="1:6" x14ac:dyDescent="0.25">
      <c r="A144" s="14"/>
      <c r="B144" s="25"/>
      <c r="C144" s="25"/>
      <c r="F144" s="255"/>
    </row>
    <row r="145" spans="1:11" x14ac:dyDescent="0.25">
      <c r="A145" s="14"/>
      <c r="B145" s="25"/>
      <c r="C145" s="25"/>
      <c r="F145" s="255"/>
    </row>
    <row r="146" spans="1:11" x14ac:dyDescent="0.25">
      <c r="A146" s="14"/>
      <c r="B146" s="25"/>
      <c r="C146" s="25"/>
      <c r="F146" s="255"/>
    </row>
    <row r="147" spans="1:11" x14ac:dyDescent="0.25">
      <c r="A147" s="256"/>
    </row>
    <row r="148" spans="1:11" ht="90" x14ac:dyDescent="0.25">
      <c r="A148" s="27">
        <f>Pooling_Month</f>
        <v>45839</v>
      </c>
      <c r="B148" s="20" t="s">
        <v>133</v>
      </c>
      <c r="C148" s="20" t="s">
        <v>134</v>
      </c>
    </row>
    <row r="149" spans="1:11" x14ac:dyDescent="0.25">
      <c r="A149" s="31" t="s">
        <v>60</v>
      </c>
      <c r="B149" s="32">
        <v>0.23089299999999999</v>
      </c>
      <c r="C149" s="32">
        <v>0.37417800000000001</v>
      </c>
      <c r="E149" s="30"/>
      <c r="F149" s="96">
        <f t="shared" ref="F149" si="8">C149/B149</f>
        <v>1.6205688349148741</v>
      </c>
    </row>
    <row r="150" spans="1:11" ht="18" customHeight="1" x14ac:dyDescent="0.25"/>
    <row r="151" spans="1:11" hidden="1" x14ac:dyDescent="0.25">
      <c r="E151" t="s">
        <v>194</v>
      </c>
    </row>
    <row r="152" spans="1:11" hidden="1" x14ac:dyDescent="0.25">
      <c r="A152" s="40" t="s">
        <v>213</v>
      </c>
      <c r="B152" s="95">
        <f>B133-B131</f>
        <v>1.0404999999999998E-2</v>
      </c>
      <c r="C152" s="95">
        <f>C133-C131</f>
        <v>6.2880000000000158E-3</v>
      </c>
      <c r="F152" t="s">
        <v>189</v>
      </c>
    </row>
    <row r="153" spans="1:11" ht="15.75" hidden="1" thickBot="1" x14ac:dyDescent="0.3">
      <c r="A153" s="93" t="s">
        <v>214</v>
      </c>
      <c r="B153" s="95">
        <f>B143</f>
        <v>0.22048799999999999</v>
      </c>
      <c r="C153" s="95">
        <f>C143</f>
        <v>0.36788999999999999</v>
      </c>
      <c r="F153" s="255">
        <f t="shared" ref="F153" si="9">C153/B153</f>
        <v>1.6685261782954175</v>
      </c>
    </row>
    <row r="154" spans="1:11" ht="15.75" hidden="1" thickBot="1" x14ac:dyDescent="0.3">
      <c r="A154" s="269" t="s">
        <v>209</v>
      </c>
      <c r="B154" s="95">
        <f>SUM(B152:B153)</f>
        <v>0.23089299999999999</v>
      </c>
      <c r="C154" s="95">
        <f>SUM(C152:C153)</f>
        <v>0.37417800000000001</v>
      </c>
      <c r="E154" s="262" t="s">
        <v>199</v>
      </c>
      <c r="F154" s="263">
        <f t="shared" ref="F154:F155" si="10">C154/B154</f>
        <v>1.6205688349148741</v>
      </c>
      <c r="G154" s="264"/>
      <c r="H154" s="264"/>
      <c r="I154" s="264"/>
      <c r="J154" s="265"/>
      <c r="K154" s="266"/>
    </row>
    <row r="155" spans="1:11" hidden="1" x14ac:dyDescent="0.25">
      <c r="A155" s="92" t="s">
        <v>204</v>
      </c>
      <c r="B155" s="95">
        <f>B133</f>
        <v>0.180337</v>
      </c>
      <c r="C155" s="95">
        <f>C133</f>
        <v>0.29386800000000002</v>
      </c>
      <c r="F155" s="96">
        <f t="shared" si="10"/>
        <v>1.6295491219217355</v>
      </c>
    </row>
    <row r="156" spans="1:11" hidden="1" x14ac:dyDescent="0.25">
      <c r="A156" t="s">
        <v>83</v>
      </c>
      <c r="B156" s="95">
        <f>AVERAGE(B154:B155)</f>
        <v>0.20561499999999999</v>
      </c>
      <c r="C156" s="95">
        <f>AVERAGE(C154:C155)</f>
        <v>0.33402300000000001</v>
      </c>
      <c r="F156" s="96">
        <f>C156/B156</f>
        <v>1.6245069669041656</v>
      </c>
    </row>
    <row r="157" spans="1:11" hidden="1" x14ac:dyDescent="0.25">
      <c r="B157" s="95"/>
      <c r="C157" s="95"/>
      <c r="F157" s="96" t="e">
        <f t="shared" ref="F157" si="11">C157/B157</f>
        <v>#DIV/0!</v>
      </c>
    </row>
    <row r="158" spans="1:11" hidden="1" x14ac:dyDescent="0.25">
      <c r="A158" s="92" t="s">
        <v>205</v>
      </c>
      <c r="B158" s="95">
        <f>B121</f>
        <v>0.22546099999999999</v>
      </c>
      <c r="C158" s="95">
        <f>C121</f>
        <v>0.38143899999999997</v>
      </c>
      <c r="F158" s="97" t="e">
        <f>AVERAGE(F154:F157)</f>
        <v>#DIV/0!</v>
      </c>
    </row>
    <row r="159" spans="1:11" hidden="1" x14ac:dyDescent="0.25">
      <c r="A159" s="91" t="s">
        <v>206</v>
      </c>
      <c r="B159" s="25">
        <f>B109</f>
        <v>0.18571499999999999</v>
      </c>
      <c r="C159" s="25">
        <f>C109</f>
        <v>0.31830399999999998</v>
      </c>
    </row>
    <row r="160" spans="1:11" hidden="1" x14ac:dyDescent="0.25">
      <c r="A160" s="40" t="s">
        <v>207</v>
      </c>
      <c r="B160" s="25">
        <f>AVERAGE(B154,B155,B158,B159)</f>
        <v>0.20560149999999999</v>
      </c>
      <c r="C160" s="25">
        <f>AVERAGE(C154,C155,C158,C159)</f>
        <v>0.34194724999999998</v>
      </c>
      <c r="F160" s="96">
        <f>C160/B160</f>
        <v>1.6631554244497244</v>
      </c>
    </row>
    <row r="161" spans="1:6" hidden="1" x14ac:dyDescent="0.25">
      <c r="A161" s="40" t="s">
        <v>210</v>
      </c>
      <c r="B161" s="25">
        <f>AVERAGE(B154,B155,B158)</f>
        <v>0.21223033333333333</v>
      </c>
      <c r="C161" s="25">
        <f>AVERAGE(C154,C155,C158)</f>
        <v>0.34982833333333335</v>
      </c>
      <c r="F161" s="96">
        <f>C161/B161</f>
        <v>1.6483427596746303</v>
      </c>
    </row>
  </sheetData>
  <sheetProtection algorithmName="SHA-512" hashValue="H6nMw5UvGK8KGPFuzBsgCDuyuGp8w5nJEVlCMwdK+hBAMnTsh1HS/FncZAzG6UCf9rI6U2ZWF2V3+BXqE2QRtA==" saltValue="Ey0X12OA3zRvrKoeU38v9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2025-06-18T19:51:41Z</dcterms:modified>
</cp:coreProperties>
</file>