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entliv0002\Share\MILKCTRL\1. MCB Programs\PRICE ANNOUNCEMENT\MT Quota Price and Dairy Revenue Estimator\2025\"/>
    </mc:Choice>
  </mc:AlternateContent>
  <xr:revisionPtr revIDLastSave="0" documentId="13_ncr:1_{B7C10627-C146-40AC-B6B9-E01D17A542D0}" xr6:coauthVersionLast="47" xr6:coauthVersionMax="47" xr10:uidLastSave="{00000000-0000-0000-0000-000000000000}"/>
  <bookViews>
    <workbookView xWindow="-12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Rec'!$B$144</definedName>
    <definedName name="EstClsIBFUtPerc">'Monthly Utilization by Class'!$B$122</definedName>
    <definedName name="EstClsIIBFUtPerc">'Monthly Utilization by Class'!$C$122</definedName>
    <definedName name="EstClsIIIBFUtPerc">'Monthly Utilization by Class'!$D$122</definedName>
    <definedName name="EstClsIIISkimUtPerc">'Monthly Utilization by Class'!$J$122</definedName>
    <definedName name="EstClsIISkimUTPerc">'Monthly Utilization by Class'!$I$122</definedName>
    <definedName name="EstClsIPckgSurpPoolBFUtPerc">'Percent Cls I Package Surplus'!$B$147</definedName>
    <definedName name="EstClsIPckgSurpPoolSkimUtPerc">'Percent Cls I Package Surplus'!$C$147</definedName>
    <definedName name="EstClsISkimUtPerc">'Monthly Utilization by Class'!$H$122</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Contiguous'!$B$120</definedName>
    <definedName name="PoolButterfatPercent">'Monthly Pool Butterfat Percent'!$B$143</definedName>
    <definedName name="PoolDailyProd">'Monthly Avg Daily Production'!$B$143</definedName>
    <definedName name="Pooling_Month">'Quota Price Estimator'!$B$4</definedName>
    <definedName name="PoolOverQuotaProdPerc">'Monthly Excess Milk Percentage'!$B$143</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9" i="8" l="1"/>
  <c r="B126" i="8"/>
  <c r="B124" i="8"/>
  <c r="B123" i="8"/>
  <c r="B157" i="6"/>
  <c r="B156" i="6"/>
  <c r="B153" i="6"/>
  <c r="B151" i="6"/>
  <c r="B150" i="6"/>
  <c r="B151" i="5"/>
  <c r="B150" i="5"/>
  <c r="B149" i="5"/>
  <c r="B147" i="5"/>
  <c r="B146" i="5"/>
  <c r="B150" i="4"/>
  <c r="B148" i="4"/>
  <c r="B147" i="4"/>
  <c r="B153" i="3"/>
  <c r="B152" i="3"/>
  <c r="B149" i="3"/>
  <c r="B147" i="3"/>
  <c r="B146" i="3"/>
  <c r="I132" i="2"/>
  <c r="J132" i="2"/>
  <c r="K132" i="2"/>
  <c r="H132" i="2"/>
  <c r="I131" i="2"/>
  <c r="J131" i="2"/>
  <c r="K131" i="2"/>
  <c r="H131" i="2"/>
  <c r="I128" i="2"/>
  <c r="J128" i="2"/>
  <c r="K128" i="2"/>
  <c r="H128" i="2"/>
  <c r="I127" i="2"/>
  <c r="J127" i="2"/>
  <c r="K127" i="2"/>
  <c r="I126" i="2"/>
  <c r="J126" i="2"/>
  <c r="K126" i="2"/>
  <c r="H126" i="2"/>
  <c r="I125" i="2"/>
  <c r="J125" i="2"/>
  <c r="K125" i="2"/>
  <c r="H127" i="2"/>
  <c r="H125" i="2"/>
  <c r="C125" i="2"/>
  <c r="D125" i="2"/>
  <c r="C126" i="2"/>
  <c r="D126" i="2"/>
  <c r="C127" i="2"/>
  <c r="C129" i="2" s="1"/>
  <c r="D127" i="2"/>
  <c r="D133" i="2" s="1"/>
  <c r="C128" i="2"/>
  <c r="D128" i="2"/>
  <c r="C131" i="2"/>
  <c r="D131" i="2"/>
  <c r="C132" i="2"/>
  <c r="D132" i="2"/>
  <c r="C133" i="2"/>
  <c r="C134" i="2"/>
  <c r="D134" i="2"/>
  <c r="B132" i="2"/>
  <c r="B131" i="2"/>
  <c r="B128" i="2"/>
  <c r="B126" i="2"/>
  <c r="B125" i="2"/>
  <c r="F142" i="6"/>
  <c r="H129" i="2" l="1"/>
  <c r="I134" i="2"/>
  <c r="K134" i="2"/>
  <c r="J129" i="2"/>
  <c r="K129" i="2"/>
  <c r="I129" i="2"/>
  <c r="I133" i="2"/>
  <c r="H133" i="2"/>
  <c r="H134" i="2"/>
  <c r="D129" i="2"/>
  <c r="K117" i="2"/>
  <c r="E117" i="2"/>
  <c r="J133" i="2" l="1"/>
  <c r="K133" i="2"/>
  <c r="J134" i="2"/>
  <c r="B154" i="7"/>
  <c r="B153" i="7"/>
  <c r="B150" i="7"/>
  <c r="B148" i="7"/>
  <c r="B147" i="7"/>
  <c r="C157" i="6"/>
  <c r="C156" i="6"/>
  <c r="C153" i="6"/>
  <c r="C151" i="6"/>
  <c r="C150" i="6"/>
  <c r="F141" i="6"/>
  <c r="H116" i="2"/>
  <c r="K122" i="2" l="1"/>
  <c r="E122" i="2"/>
  <c r="E132" i="2"/>
  <c r="E131" i="2"/>
  <c r="E128" i="2"/>
  <c r="E125" i="2"/>
  <c r="K116" i="2"/>
  <c r="E116" i="2"/>
  <c r="E126" i="2" s="1"/>
  <c r="F140" i="6" l="1"/>
  <c r="B115" i="2"/>
  <c r="E115" i="2" s="1"/>
  <c r="K115" i="2"/>
  <c r="D27" i="1"/>
  <c r="C152" i="6" l="1"/>
  <c r="C147" i="6" s="1"/>
  <c r="F139" i="6"/>
  <c r="K114" i="2"/>
  <c r="E114" i="2"/>
  <c r="F138" i="6"/>
  <c r="K113" i="2" l="1"/>
  <c r="B113" i="2"/>
  <c r="E113" i="2" l="1"/>
  <c r="C154" i="6"/>
  <c r="C158" i="6" l="1"/>
  <c r="F137" i="6"/>
  <c r="C159" i="6" l="1"/>
  <c r="K112" i="2"/>
  <c r="E112" i="2"/>
  <c r="F136" i="6" l="1"/>
  <c r="K111" i="2"/>
  <c r="E111"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48" i="3"/>
  <c r="B154" i="3" s="1"/>
  <c r="B148" i="5"/>
  <c r="B149" i="4"/>
  <c r="B143" i="4" s="1"/>
  <c r="M132" i="2"/>
  <c r="O131" i="2"/>
  <c r="F129" i="6"/>
  <c r="K104" i="2"/>
  <c r="E104" i="2"/>
  <c r="A2" i="1"/>
  <c r="A2" i="10"/>
  <c r="B149" i="7"/>
  <c r="B156" i="7" s="1"/>
  <c r="F153" i="6"/>
  <c r="F128" i="6"/>
  <c r="B125" i="8"/>
  <c r="B130" i="8" s="1"/>
  <c r="B103" i="2"/>
  <c r="E103" i="2"/>
  <c r="K103" i="2"/>
  <c r="F127" i="6"/>
  <c r="K102" i="2"/>
  <c r="E102" i="2"/>
  <c r="F126" i="6"/>
  <c r="K101" i="2"/>
  <c r="E101" i="2"/>
  <c r="F125" i="6"/>
  <c r="K100" i="2"/>
  <c r="E100" i="2"/>
  <c r="B152" i="6"/>
  <c r="F124" i="6"/>
  <c r="K99" i="2"/>
  <c r="E99" i="2"/>
  <c r="F151"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2"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2"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2" i="3"/>
  <c r="K3" i="2"/>
  <c r="E3" i="2"/>
  <c r="A143" i="7"/>
  <c r="A119" i="8"/>
  <c r="A146" i="6"/>
  <c r="A142" i="5"/>
  <c r="A142" i="4"/>
  <c r="G121" i="2"/>
  <c r="A121" i="2"/>
  <c r="B18" i="11"/>
  <c r="B17" i="11"/>
  <c r="B16" i="11"/>
  <c r="B12" i="11"/>
  <c r="B11" i="11"/>
  <c r="B10" i="11"/>
  <c r="B6" i="11"/>
  <c r="I18" i="1"/>
  <c r="B51" i="11" s="1"/>
  <c r="I16" i="1"/>
  <c r="B49" i="11" s="1"/>
  <c r="I17" i="1"/>
  <c r="B50" i="11" s="1"/>
  <c r="H18" i="1"/>
  <c r="B47" i="11" s="1"/>
  <c r="H17" i="1"/>
  <c r="B46" i="11" s="1"/>
  <c r="H16" i="1"/>
  <c r="B45" i="11" s="1"/>
  <c r="B7" i="1"/>
  <c r="B67" i="1" s="1"/>
  <c r="B76" i="1" s="1"/>
  <c r="B80" i="1" s="1"/>
  <c r="G14" i="10"/>
  <c r="H14" i="10" s="1"/>
  <c r="B19" i="10"/>
  <c r="B18" i="10"/>
  <c r="I42" i="1"/>
  <c r="B24" i="11"/>
  <c r="F155" i="6"/>
  <c r="O128" i="2"/>
  <c r="O126" i="2"/>
  <c r="M126" i="2"/>
  <c r="E91" i="2"/>
  <c r="O132" i="2"/>
  <c r="M128" i="2"/>
  <c r="M131" i="2"/>
  <c r="B158" i="6" l="1"/>
  <c r="F158" i="6" s="1"/>
  <c r="B147" i="6"/>
  <c r="B152" i="5"/>
  <c r="B151" i="4"/>
  <c r="B13" i="1"/>
  <c r="B13" i="11"/>
  <c r="E127" i="2"/>
  <c r="B127" i="2"/>
  <c r="B129" i="2" s="1"/>
  <c r="K89" i="2"/>
  <c r="B154" i="6"/>
  <c r="F154" i="6" s="1"/>
  <c r="B21" i="11"/>
  <c r="B151" i="7"/>
  <c r="B155" i="7"/>
  <c r="F46" i="1"/>
  <c r="F47" i="1" s="1"/>
  <c r="B127" i="8"/>
  <c r="F152" i="6"/>
  <c r="B159" i="6"/>
  <c r="B153" i="5"/>
  <c r="B19" i="11"/>
  <c r="I19" i="1"/>
  <c r="M127" i="2"/>
  <c r="O127" i="2"/>
  <c r="B155" i="3"/>
  <c r="B150" i="3"/>
  <c r="B41" i="11"/>
  <c r="B77" i="1"/>
  <c r="B82" i="1" s="1"/>
  <c r="B83" i="1" s="1"/>
  <c r="H19" i="1"/>
  <c r="G34" i="10"/>
  <c r="G37" i="10"/>
  <c r="G36" i="10"/>
  <c r="G38" i="10"/>
  <c r="G35" i="10"/>
  <c r="G39" i="10"/>
  <c r="G28" i="10"/>
  <c r="H15" i="10"/>
  <c r="I15" i="10" s="1"/>
  <c r="G13" i="10"/>
  <c r="I14" i="10"/>
  <c r="F89" i="1"/>
  <c r="F83" i="1"/>
  <c r="P91" i="1"/>
  <c r="H89" i="1" s="1"/>
  <c r="G89" i="1"/>
  <c r="G91" i="1" s="1"/>
  <c r="H42" i="1" l="1"/>
  <c r="F147" i="6"/>
  <c r="B23" i="11"/>
  <c r="B7" i="11"/>
  <c r="B8" i="1"/>
  <c r="B5" i="11"/>
  <c r="B6" i="1"/>
  <c r="B134" i="2"/>
  <c r="B133" i="2"/>
  <c r="E129" i="2"/>
  <c r="E133" i="2"/>
  <c r="E134" i="2"/>
  <c r="I13" i="10"/>
  <c r="H13" i="10"/>
  <c r="F156" i="6"/>
  <c r="F159" i="6"/>
  <c r="B85" i="1"/>
  <c r="B88" i="1"/>
  <c r="B12" i="1"/>
  <c r="B39" i="11"/>
  <c r="C13" i="1"/>
  <c r="H83" i="1"/>
  <c r="H91" i="1" s="1"/>
  <c r="F91" i="1"/>
  <c r="K83" i="1"/>
  <c r="J83" i="1"/>
  <c r="I34" i="1" l="1"/>
  <c r="D34" i="1"/>
  <c r="C34" i="1"/>
  <c r="H34" i="1"/>
  <c r="B43" i="11"/>
  <c r="L83" i="1"/>
  <c r="B89" i="1"/>
  <c r="K89" i="1" s="1"/>
  <c r="K91" i="1" s="1"/>
  <c r="F59" i="1" s="1"/>
  <c r="B57"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6" i="11" s="1"/>
  <c r="B53" i="11" l="1"/>
  <c r="B45" i="1"/>
  <c r="B50" i="1" s="1"/>
  <c r="B18" i="1"/>
  <c r="B24" i="1"/>
  <c r="D19" i="1"/>
  <c r="D22" i="1"/>
  <c r="D25" i="1" s="1"/>
  <c r="C25" i="1"/>
  <c r="C30" i="1" s="1"/>
  <c r="B59" i="1"/>
  <c r="B23" i="1"/>
  <c r="B17" i="1"/>
  <c r="B19" i="1" l="1"/>
  <c r="B22" i="1"/>
  <c r="B25" i="1" s="1"/>
  <c r="D29" i="1"/>
  <c r="B58" i="11"/>
  <c r="H33" i="1"/>
  <c r="H35" i="1" s="1"/>
  <c r="C33" i="1"/>
  <c r="C35" i="1" s="1"/>
  <c r="B46" i="1"/>
  <c r="B51" i="1" s="1"/>
  <c r="B52" i="1" s="1"/>
  <c r="D28" i="1" l="1"/>
  <c r="D30" i="1" s="1"/>
  <c r="B54" i="11"/>
  <c r="H18" i="10"/>
  <c r="C9" i="10"/>
  <c r="B36" i="11" s="1"/>
  <c r="H19" i="10"/>
  <c r="C10" i="10"/>
  <c r="D33" i="1" l="1"/>
  <c r="D35" i="1" s="1"/>
  <c r="I33" i="1"/>
  <c r="I35" i="1" s="1"/>
  <c r="B30" i="1"/>
  <c r="B62" i="11" s="1"/>
  <c r="H20" i="10"/>
  <c r="B20" i="10"/>
  <c r="I19" i="10" l="1"/>
  <c r="G19" i="10" s="1"/>
  <c r="D10" i="10"/>
  <c r="B10" i="10"/>
  <c r="G10" i="10"/>
  <c r="I18" i="10"/>
  <c r="B9" i="10"/>
  <c r="B35" i="11" s="1"/>
  <c r="D9" i="10"/>
  <c r="B37"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<sst xmlns="http://schemas.openxmlformats.org/spreadsheetml/2006/main" count="351" uniqueCount="217">
  <si>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</si>
  <si>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</si>
  <si>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</si>
  <si>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</si>
  <si>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</si>
  <si>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</si>
  <si>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</si>
  <si>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</si>
  <si>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</si>
  <si>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</si>
  <si>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</si>
  <si>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</si>
  <si>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</si>
  <si>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</si>
  <si>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</si>
  <si>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</si>
  <si>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</si>
  <si>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</si>
  <si>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</si>
  <si>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</si>
  <si>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</si>
  <si>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</si>
  <si>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</si>
  <si>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</si>
  <si>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</si>
  <si>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</si>
  <si>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</si>
  <si>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</si>
  <si>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</si>
  <si>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</si>
  <si>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</si>
  <si>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</si>
  <si>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</si>
  <si>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</si>
  <si>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</si>
  <si>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</si>
  <si>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</si>
  <si>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</si>
  <si>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</si>
  <si>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</si>
  <si>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</si>
  <si>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</si>
  <si>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</si>
  <si>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</si>
  <si>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</si>
  <si>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</si>
  <si>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</si>
  <si>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</si>
  <si>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</si>
  <si>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</si>
  <si>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</si>
  <si>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</si>
  <si>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</si>
  <si>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</si>
  <si>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</si>
  <si>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</si>
  <si>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</si>
  <si>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</si>
  <si>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</si>
  <si>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</si>
  <si>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</si>
  <si>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</si>
  <si>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</si>
  <si>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</si>
  <si>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</si>
  <si>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</si>
  <si>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</si>
  <si>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</si>
  <si>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</si>
  <si>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</si>
  <si>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</si>
  <si>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</si>
  <si>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</si>
  <si>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</si>
  <si>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</si>
  <si>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</si>
  <si>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</si>
  <si>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</si>
  <si>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</si>
  <si>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</si>
  <si>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</si>
  <si>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</si>
  <si>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</si>
  <si>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</si>
  <si>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</si>
  <si>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</si>
  <si>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</si>
  <si>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</si>
  <si>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</si>
  <si>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</si>
  <si>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</si>
  <si>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</si>
  <si>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</si>
  <si>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</si>
  <si>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</si>
  <si>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</si>
  <si>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</si>
  <si>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</si>
  <si>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</si>
  <si>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</si>
  <si>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</si>
  <si>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</si>
  <si>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</si>
  <si>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</si>
  <si>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</si>
  <si>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</si>
  <si>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</si>
  <si>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</si>
  <si>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</si>
  <si>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</si>
  <si>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</si>
  <si>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</si>
  <si>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</si>
  <si>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</si>
  <si>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</si>
  <si>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</si>
  <si>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</si>
  <si>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</si>
  <si>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</si>
  <si>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</si>
  <si>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</si>
  <si>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</si>
  <si>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</si>
  <si>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</si>
  <si>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</si>
  <si>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</si>
  <si>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</si>
  <si>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</si>
  <si>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</si>
  <si>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</si>
  <si>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</si>
  <si>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</si>
  <si>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</si>
  <si>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</si>
  <si>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</si>
  <si>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</si>
  <si>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</si>
  <si>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</si>
  <si>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</si>
  <si>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</si>
  <si>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</si>
  <si>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</si>
  <si>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</si>
  <si>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</si>
  <si>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</si>
  <si>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</si>
  <si>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</si>
  <si>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</si>
  <si>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</si>
  <si>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</si>
  <si>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</si>
  <si>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</si>
  <si>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</si>
  <si>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</si>
  <si>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</si>
  <si>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</si>
  <si>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</si>
  <si>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</si>
  <si>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</si>
  <si>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</si>
  <si>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</si>
  <si>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</si>
  <si>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</si>
  <si>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</si>
  <si>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</si>
  <si>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</si>
  <si>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</si>
  <si>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</si>
  <si>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</si>
  <si>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</si>
  <si>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</si>
  <si>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</si>
  <si>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</si>
  <si>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</si>
  <si>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</si>
  <si>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</si>
  <si>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</si>
  <si>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</si>
  <si>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</si>
  <si>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</si>
  <si>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</si>
  <si>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</si>
  <si>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</si>
  <si>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</si>
  <si>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</si>
  <si>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</si>
  <si>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</si>
  <si>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</si>
  <si>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</si>
  <si>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</si>
  <si>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</si>
  <si>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</si>
  <si>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</si>
  <si>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</si>
  <si>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</si>
  <si>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</si>
  <si>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</si>
  <si>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</si>
  <si>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</si>
  <si>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</si>
  <si>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</si>
  <si>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</si>
  <si>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Note:  Novober 2015 - March 2017 are recalculated figures that reflect percentages that would have existed if rules in effect on Aug. 1, 2017  were in effect in the past</t>
  </si>
  <si>
    <t>Note:  March2015 - July 2017 are recalculated figures that reflect percentages that would have existed if rules in effect on Aug. 1, 2017  were in effect in the past</t>
  </si>
  <si>
    <t>x</t>
  </si>
  <si>
    <t>Est June2025</t>
  </si>
  <si>
    <t>June 2024</t>
  </si>
  <si>
    <t>June 2023</t>
  </si>
  <si>
    <t>June 2022</t>
  </si>
  <si>
    <t>Ave:  June 25 Est, 24, 23, 22</t>
  </si>
  <si>
    <t xml:space="preserve">Ave:  June 25 Est, 24, 23, </t>
  </si>
  <si>
    <t>Est June 2025</t>
  </si>
  <si>
    <t>Ave:  June 25 Est, 24, 23</t>
  </si>
  <si>
    <t>Will use 0.0% for Est June 2025.  June2024 was the only time there has been bulk surplus since February2023. This Feb load was sent out-of state because of a refrigeration issue. 3/19/24 ms</t>
  </si>
  <si>
    <t>Note:  April 2015 - April 2017 are recalculated figures that reflect percentages that would have existed if rules in effect on Aug. 1, 2017  were in effect in the past</t>
  </si>
  <si>
    <t>June 2024 - April 2024 Delta</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</si>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</sst>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0"/>
  <sheetViews>
    <sheetView topLeftCell="A103" workbookViewId="0">
      <selection activeCell="I115" sqref="I115"/>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203</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v>45597</v>
      </c>
      <c r="B111" s="25">
        <v>0.48625000000000002</v>
      </c>
    </row>
    <row r="112" spans="1:2" x14ac:dyDescent="0.25">
      <c r="A112" s="15">
        <v>45627</v>
      </c>
      <c r="B112" s="25">
        <v>0.39985799999999999</v>
      </c>
    </row>
    <row r="113" spans="1:17" x14ac:dyDescent="0.25">
      <c r="A113" s="15">
        <v>45658</v>
      </c>
      <c r="B113" s="25">
        <v>0.41091699999999998</v>
      </c>
    </row>
    <row r="114" spans="1:17" x14ac:dyDescent="0.25">
      <c r="A114" s="15">
        <v>45689</v>
      </c>
      <c r="B114" s="25">
        <v>0.48166799999999999</v>
      </c>
    </row>
    <row r="115" spans="1:17" x14ac:dyDescent="0.25">
      <c r="A115" s="15">
        <v>45717</v>
      </c>
      <c r="B115" s="25">
        <v>0.47711100000000001</v>
      </c>
    </row>
    <row r="116" spans="1:17" x14ac:dyDescent="0.25">
      <c r="A116" s="15">
        <v>45748</v>
      </c>
      <c r="B116" s="25">
        <v>0.45650600000000002</v>
      </c>
    </row>
    <row r="117" spans="1:17" x14ac:dyDescent="0.25">
      <c r="A117" s="15"/>
      <c r="B117" s="25"/>
    </row>
    <row r="118" spans="1:17" x14ac:dyDescent="0.25">
      <c r="A118" s="15"/>
      <c r="B118" s="25"/>
    </row>
    <row r="119" spans="1:17" ht="75" x14ac:dyDescent="0.25">
      <c r="A119" s="27">
        <f>Pooling_Month</f>
        <v>45809</v>
      </c>
      <c r="B119" s="20" t="s">
        <v>136</v>
      </c>
    </row>
    <row r="120" spans="1:17" x14ac:dyDescent="0.25">
      <c r="A120" s="31" t="s">
        <v>60</v>
      </c>
      <c r="B120" s="260">
        <v>0.42368000000000006</v>
      </c>
    </row>
    <row r="121" spans="1:17" ht="13.5" hidden="1" customHeight="1" x14ac:dyDescent="0.25"/>
    <row r="122" spans="1:17" hidden="1" x14ac:dyDescent="0.25"/>
    <row r="123" spans="1:17" ht="30" hidden="1" x14ac:dyDescent="0.25">
      <c r="A123" s="40" t="s">
        <v>215</v>
      </c>
      <c r="B123" s="95">
        <f>B106-B104</f>
        <v>-3.2825999999999966E-2</v>
      </c>
    </row>
    <row r="124" spans="1:17" hidden="1" x14ac:dyDescent="0.25">
      <c r="A124" s="93" t="s">
        <v>216</v>
      </c>
      <c r="B124" s="95">
        <f>B116</f>
        <v>0.45650600000000002</v>
      </c>
      <c r="J124" t="s">
        <v>195</v>
      </c>
    </row>
    <row r="125" spans="1:17" hidden="1" x14ac:dyDescent="0.25">
      <c r="A125" s="269" t="s">
        <v>211</v>
      </c>
      <c r="B125" s="95">
        <f>SUM(B123:B124)</f>
        <v>0.42368000000000006</v>
      </c>
      <c r="C125" s="3"/>
      <c r="E125" s="3"/>
      <c r="F125" s="3"/>
      <c r="G125" s="3"/>
      <c r="H125" s="3"/>
      <c r="I125" s="3"/>
      <c r="J125" s="3"/>
      <c r="K125" s="3"/>
      <c r="L125" s="3"/>
      <c r="M125" s="3"/>
      <c r="N125" s="3"/>
      <c r="O125" s="3"/>
      <c r="P125" s="3"/>
      <c r="Q125" s="3"/>
    </row>
    <row r="126" spans="1:17" hidden="1" x14ac:dyDescent="0.25">
      <c r="A126" s="92" t="s">
        <v>206</v>
      </c>
      <c r="B126" s="95">
        <f>B106</f>
        <v>0.30881900000000001</v>
      </c>
      <c r="C126" s="3"/>
      <c r="E126" s="3"/>
      <c r="F126" s="3"/>
      <c r="G126" s="3"/>
      <c r="H126" s="3"/>
      <c r="I126" s="3"/>
      <c r="J126" s="3"/>
      <c r="K126" s="3"/>
      <c r="L126" s="3"/>
      <c r="M126" s="3"/>
      <c r="N126" s="3"/>
      <c r="O126" s="3"/>
      <c r="P126" s="3"/>
      <c r="Q126" s="3"/>
    </row>
    <row r="127" spans="1:17" hidden="1" x14ac:dyDescent="0.25">
      <c r="A127" t="s">
        <v>83</v>
      </c>
      <c r="B127" s="25">
        <f>AVERAGE(B125:B126)</f>
        <v>0.36624950000000001</v>
      </c>
    </row>
    <row r="128" spans="1:17" hidden="1" x14ac:dyDescent="0.25"/>
    <row r="129" spans="1:2" hidden="1" x14ac:dyDescent="0.25">
      <c r="A129" s="92" t="s">
        <v>207</v>
      </c>
      <c r="B129" s="25">
        <f>B94</f>
        <v>0.31261899999999998</v>
      </c>
    </row>
    <row r="130" spans="1:2" hidden="1" x14ac:dyDescent="0.25">
      <c r="A130" t="s">
        <v>85</v>
      </c>
      <c r="B130" s="25">
        <f>AVERAGE(B125:B126,B129)</f>
        <v>0.34837266666666666</v>
      </c>
    </row>
  </sheetData>
  <sheetProtection algorithmName="SHA-512" hashValue="6oNOHap4uo1+FOhvtaIqkEVKdu5nTo2+VK2Zh6B24fEdEUUXc3mMM0Vs/OzoEc++fxueeD0CouuX29XZvNpLww==" saltValue="+nFHpeJ7y0OyiXCXscLzBg=="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1"/>
  <sheetViews>
    <sheetView topLeftCell="A120" workbookViewId="0">
      <selection activeCell="E143" sqref="E143"/>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v>45748</v>
      </c>
      <c r="B139" s="25">
        <v>0</v>
      </c>
    </row>
    <row r="140" spans="1:2" x14ac:dyDescent="0.25">
      <c r="A140" s="14"/>
      <c r="B140" s="25"/>
    </row>
    <row r="141" spans="1:2" x14ac:dyDescent="0.25">
      <c r="A141" s="14"/>
      <c r="B141" s="25"/>
    </row>
    <row r="142" spans="1:2" x14ac:dyDescent="0.25">
      <c r="A142" s="14"/>
      <c r="B142" s="25"/>
    </row>
    <row r="143" spans="1:2" ht="75" x14ac:dyDescent="0.25">
      <c r="A143" s="27">
        <f>Pooling_Month</f>
        <v>45809</v>
      </c>
      <c r="B143" s="20" t="s">
        <v>139</v>
      </c>
    </row>
    <row r="144" spans="1:2" x14ac:dyDescent="0.25">
      <c r="A144" s="31" t="s">
        <v>60</v>
      </c>
      <c r="B144" s="32">
        <v>0</v>
      </c>
    </row>
    <row r="145" spans="1:3" ht="15.75" hidden="1" customHeight="1" x14ac:dyDescent="0.25"/>
    <row r="146" spans="1:3" ht="14.25" hidden="1" customHeight="1" x14ac:dyDescent="0.25">
      <c r="C146" t="s">
        <v>196</v>
      </c>
    </row>
    <row r="147" spans="1:3" hidden="1" x14ac:dyDescent="0.25">
      <c r="A147" s="40" t="s">
        <v>215</v>
      </c>
      <c r="B147" s="95">
        <f>B128-B126</f>
        <v>0</v>
      </c>
    </row>
    <row r="148" spans="1:3" hidden="1" x14ac:dyDescent="0.25">
      <c r="A148" s="93" t="s">
        <v>216</v>
      </c>
      <c r="B148" s="95">
        <f>B138</f>
        <v>0</v>
      </c>
    </row>
    <row r="149" spans="1:3" hidden="1" x14ac:dyDescent="0.25">
      <c r="A149" s="91" t="s">
        <v>211</v>
      </c>
      <c r="B149" s="95">
        <f>SUM(B147:B148)</f>
        <v>0</v>
      </c>
      <c r="C149" t="s">
        <v>213</v>
      </c>
    </row>
    <row r="150" spans="1:3" hidden="1" x14ac:dyDescent="0.25">
      <c r="A150" s="92" t="s">
        <v>206</v>
      </c>
      <c r="B150" s="95">
        <f>B128</f>
        <v>0</v>
      </c>
      <c r="C150" t="s">
        <v>197</v>
      </c>
    </row>
    <row r="151" spans="1:3" hidden="1" x14ac:dyDescent="0.25">
      <c r="A151" t="s">
        <v>83</v>
      </c>
      <c r="B151" s="95">
        <f>AVERAGE(B149:B150)</f>
        <v>0</v>
      </c>
    </row>
    <row r="152" spans="1:3" hidden="1" x14ac:dyDescent="0.25">
      <c r="B152" s="95"/>
    </row>
    <row r="153" spans="1:3" hidden="1" x14ac:dyDescent="0.25">
      <c r="A153" s="92" t="s">
        <v>207</v>
      </c>
      <c r="B153" s="95">
        <f>B116</f>
        <v>0</v>
      </c>
    </row>
    <row r="154" spans="1:3" hidden="1" x14ac:dyDescent="0.25">
      <c r="A154" s="91" t="s">
        <v>208</v>
      </c>
      <c r="B154" s="25">
        <f>B104</f>
        <v>1.0812E-2</v>
      </c>
    </row>
    <row r="155" spans="1:3" hidden="1" x14ac:dyDescent="0.25">
      <c r="A155" s="40" t="s">
        <v>209</v>
      </c>
      <c r="B155" s="25">
        <f>AVERAGE(B149,B150,B153,B154)</f>
        <v>2.7030000000000001E-3</v>
      </c>
    </row>
    <row r="156" spans="1:3" hidden="1" x14ac:dyDescent="0.25">
      <c r="A156" s="40" t="s">
        <v>212</v>
      </c>
      <c r="B156" s="25">
        <f>AVERAGE(B149,B150,B153)</f>
        <v>0</v>
      </c>
    </row>
    <row r="161" spans="4:4" x14ac:dyDescent="0.25">
      <c r="D161" s="218"/>
    </row>
  </sheetData>
  <sheetProtection algorithmName="SHA-512" hashValue="6ZJ83gSBNNczuF3wuMplNqyt97hTjo4TryhlFA7/lEI9XQo5oSpCsnhXm/Zs0XSWtmRx0AzMXCzaDB33DR46Tg==" saltValue="363UL1NHLeZ+UFq9FFG1j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4"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f>'Quota Price Estimator'!B4</f>
        <v>45809</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201</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18.576301762168576</v>
      </c>
      <c r="C9" s="81">
        <f>QuotaButterfatPrice</f>
        <v>2.5584873050000003</v>
      </c>
      <c r="D9" s="82">
        <f>QuotaSkimPrice</f>
        <v>9.9705660048379038E-2</v>
      </c>
      <c r="E9" s="82"/>
      <c r="F9" s="83"/>
      <c r="G9" s="84">
        <f>(QuotaButterfatPrice*PoolButterfatPercent*100)+(QuotaSkimPrice*(100-PoolButterfatPercent*100))</f>
        <v>19.691850994483129</v>
      </c>
      <c r="H9" s="1"/>
      <c r="I9" s="1"/>
    </row>
    <row r="10" spans="1:9" ht="15.75" x14ac:dyDescent="0.25">
      <c r="A10" s="85" t="s">
        <v>5</v>
      </c>
      <c r="B10" s="222">
        <f>ExcessButterfatPrice*3.5+ExcessSkimPrice*96.5</f>
        <v>17.076301762168576</v>
      </c>
      <c r="C10" s="86">
        <f>ExcessButterfatPrice</f>
        <v>2.5434873050000002</v>
      </c>
      <c r="D10" s="87">
        <f>ExcessSkimPrice</f>
        <v>8.4705660048379039E-2</v>
      </c>
      <c r="E10" s="87"/>
      <c r="F10" s="88"/>
      <c r="G10" s="89">
        <f>(ExcessButterfatPrice*PoolButterfatPercent*100)+(ExcessSkimPrice*(100-PoolButterfatPercent*100))</f>
        <v>18.191850994483133</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4">
        <v>2.1499999999999998E-2</v>
      </c>
      <c r="F37" s="104" t="s">
        <v>93</v>
      </c>
      <c r="G37" s="106">
        <f>-ROUND(($G$15/100)*B43,2)</f>
        <v>0</v>
      </c>
    </row>
    <row r="38" spans="1:7" ht="15.75" x14ac:dyDescent="0.25">
      <c r="B38" s="242"/>
      <c r="F38" s="104" t="s">
        <v>104</v>
      </c>
      <c r="G38" s="106">
        <f>-ROUND(($G$15/100)*B45+B46,2)</f>
        <v>0</v>
      </c>
    </row>
    <row r="39" spans="1:7" ht="15.75" x14ac:dyDescent="0.25">
      <c r="A39" s="40" t="s">
        <v>92</v>
      </c>
      <c r="B39" s="241">
        <v>0.14000000000000001</v>
      </c>
      <c r="F39" s="107" t="s">
        <v>105</v>
      </c>
      <c r="G39" s="108">
        <f>-ROUND(($G$15/100)*B48+B49,2)</f>
        <v>0</v>
      </c>
    </row>
    <row r="40" spans="1:7" ht="15.75" x14ac:dyDescent="0.25">
      <c r="A40" t="s">
        <v>91</v>
      </c>
      <c r="B40" s="243">
        <v>50</v>
      </c>
      <c r="F40" s="102" t="s">
        <v>106</v>
      </c>
      <c r="G40" s="109">
        <f>SUM(G27:G39)</f>
        <v>-50</v>
      </c>
    </row>
    <row r="41" spans="1:7" ht="15.75" x14ac:dyDescent="0.25">
      <c r="A41" t="s">
        <v>91</v>
      </c>
      <c r="B41" s="243">
        <v>1050</v>
      </c>
      <c r="F41" s="107" t="s">
        <v>107</v>
      </c>
      <c r="G41" s="108">
        <f>-B51</f>
        <v>0</v>
      </c>
    </row>
    <row r="42" spans="1:7" ht="15.75" x14ac:dyDescent="0.25">
      <c r="B42" s="242"/>
      <c r="F42" s="104" t="s">
        <v>108</v>
      </c>
      <c r="G42" s="106">
        <f>SUM(G40:G41)</f>
        <v>-50</v>
      </c>
    </row>
    <row r="43" spans="1:7" x14ac:dyDescent="0.25">
      <c r="A43" t="s">
        <v>94</v>
      </c>
      <c r="B43" s="241">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1"/>
  <sheetViews>
    <sheetView topLeftCell="A41" workbookViewId="0">
      <selection activeCell="A92" sqref="A92"/>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7" customWidth="1"/>
    <col min="15" max="15" width="13.5703125" style="237" customWidth="1"/>
    <col min="16" max="16" width="13.85546875" style="237" customWidth="1"/>
    <col min="17" max="16384" width="9.140625" style="1"/>
  </cols>
  <sheetData>
    <row r="1" spans="1:13" ht="21" x14ac:dyDescent="0.35">
      <c r="A1" s="9" t="s">
        <v>191</v>
      </c>
      <c r="B1" s="7"/>
      <c r="C1" s="7"/>
      <c r="D1" s="7"/>
      <c r="E1" s="7"/>
      <c r="F1" s="7"/>
      <c r="G1" s="7"/>
      <c r="H1" s="7"/>
      <c r="I1" s="7"/>
    </row>
    <row r="2" spans="1:13" ht="18.75" x14ac:dyDescent="0.3">
      <c r="A2" s="258">
        <f>Pooling_Month</f>
        <v>45809</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59">
        <v>45809</v>
      </c>
      <c r="C4" s="123"/>
      <c r="D4" s="123"/>
      <c r="E4" s="123"/>
      <c r="F4" s="123"/>
      <c r="G4" s="123"/>
      <c r="H4" s="123"/>
      <c r="I4" s="124"/>
    </row>
    <row r="5" spans="1:13" ht="15.75" x14ac:dyDescent="0.25">
      <c r="A5" s="125" t="s">
        <v>1</v>
      </c>
      <c r="B5" s="126">
        <f>DAY(DATE(YEAR(Pooling_Month),MONTH(Pooling_Month)+1,0))</f>
        <v>30</v>
      </c>
      <c r="C5" s="126"/>
      <c r="D5" s="126"/>
      <c r="E5" s="126"/>
      <c r="F5" s="126"/>
      <c r="G5" s="126"/>
      <c r="H5" s="126"/>
      <c r="I5" s="127"/>
    </row>
    <row r="6" spans="1:13" ht="15.75" x14ac:dyDescent="0.25">
      <c r="A6" s="128" t="s">
        <v>50</v>
      </c>
      <c r="B6" s="129">
        <f>PoolDailyProd</f>
        <v>504056</v>
      </c>
      <c r="C6" s="126"/>
      <c r="D6" s="126"/>
      <c r="E6" s="126"/>
      <c r="F6" s="126"/>
      <c r="G6" s="126"/>
      <c r="H6" s="126"/>
      <c r="I6" s="127"/>
    </row>
    <row r="7" spans="1:13" ht="15.75" x14ac:dyDescent="0.25">
      <c r="A7" s="128" t="s">
        <v>15</v>
      </c>
      <c r="B7" s="130">
        <f>PoolButterfatPercent</f>
        <v>3.9537000000000003E-2</v>
      </c>
      <c r="C7" s="126"/>
      <c r="D7" s="126"/>
      <c r="E7" s="126"/>
      <c r="F7" s="126"/>
      <c r="G7" s="126"/>
      <c r="H7" s="126"/>
      <c r="I7" s="127"/>
    </row>
    <row r="8" spans="1:13" ht="15.75" x14ac:dyDescent="0.25">
      <c r="A8" s="128" t="s">
        <v>51</v>
      </c>
      <c r="B8" s="130">
        <f>PoolOverQuotaProdPerc</f>
        <v>7.5069999999999998E-3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15008161.54824</v>
      </c>
      <c r="C11" s="135">
        <f>C13-C12</f>
        <v>593377.68313276488</v>
      </c>
      <c r="D11" s="135">
        <f>D13-D12</f>
        <v>14414783.865107235</v>
      </c>
      <c r="E11" s="135"/>
      <c r="F11" s="126"/>
      <c r="G11" s="126"/>
      <c r="H11" s="126"/>
      <c r="I11" s="127"/>
    </row>
    <row r="12" spans="1:13" ht="15.75" x14ac:dyDescent="0.25">
      <c r="A12" s="136" t="s">
        <v>18</v>
      </c>
      <c r="B12" s="137">
        <f>B13*PoolOverQuotaProdPerc</f>
        <v>113518.45176</v>
      </c>
      <c r="C12" s="137">
        <f>B12*PoolButterfatPercent</f>
        <v>4488.17902723512</v>
      </c>
      <c r="D12" s="137">
        <f>B12-C12</f>
        <v>109030.27273276488</v>
      </c>
      <c r="E12" s="135"/>
      <c r="F12" s="126"/>
      <c r="G12" s="126"/>
      <c r="H12" s="126"/>
      <c r="I12" s="127"/>
    </row>
    <row r="13" spans="1:13" ht="15.75" x14ac:dyDescent="0.25">
      <c r="A13" s="134" t="s">
        <v>19</v>
      </c>
      <c r="B13" s="135">
        <f>PoolDailyProd*DaysPerMonth</f>
        <v>15121680</v>
      </c>
      <c r="C13" s="135">
        <f>B13*PoolButterfatPercent</f>
        <v>597865.86216000002</v>
      </c>
      <c r="D13" s="135">
        <f>B13-C13</f>
        <v>14523814.137839999</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11757510.747280704</v>
      </c>
      <c r="C16" s="135">
        <f>Butterfat_Production*EstClsIBFUtPerc</f>
        <v>277888.052731968</v>
      </c>
      <c r="D16" s="135">
        <f>Skim_Production*EstClsISkimUtPerc</f>
        <v>11479622.694548735</v>
      </c>
      <c r="E16" s="140"/>
      <c r="F16" s="126"/>
      <c r="G16" s="141" t="s">
        <v>21</v>
      </c>
      <c r="H16" s="142">
        <f>EstClsIBFUtPerc</f>
        <v>0.46479999999999999</v>
      </c>
      <c r="I16" s="143">
        <f>EstClsISkimUtPerc</f>
        <v>0.79039999999999999</v>
      </c>
      <c r="M16" s="5"/>
    </row>
    <row r="17" spans="1:14" ht="15.75" x14ac:dyDescent="0.25">
      <c r="A17" s="134" t="s">
        <v>22</v>
      </c>
      <c r="B17" s="135">
        <f>SUM(C17:D17)</f>
        <v>1024903.9653266399</v>
      </c>
      <c r="C17" s="135">
        <f>Butterfat_Production*EstClsIIBFUtPerc</f>
        <v>143308.44715975202</v>
      </c>
      <c r="D17" s="135">
        <f>Skim_Production*EstClsIISkimUTPerc</f>
        <v>881595.51816688792</v>
      </c>
      <c r="E17" s="140"/>
      <c r="F17" s="126"/>
      <c r="G17" s="141" t="s">
        <v>22</v>
      </c>
      <c r="H17" s="142">
        <f>EstClsIIBFUtPerc</f>
        <v>0.2397</v>
      </c>
      <c r="I17" s="143">
        <f>EstClsIISkimUTPerc</f>
        <v>6.0699999999999997E-2</v>
      </c>
      <c r="M17" s="5"/>
    </row>
    <row r="18" spans="1:14" ht="15.75" x14ac:dyDescent="0.25">
      <c r="A18" s="136" t="s">
        <v>23</v>
      </c>
      <c r="B18" s="137">
        <f>SUM(C18:D18)</f>
        <v>2339265.2873926563</v>
      </c>
      <c r="C18" s="137">
        <f>Butterfat_Production*EstClsIIIBFUtPerc</f>
        <v>176669.36226828003</v>
      </c>
      <c r="D18" s="137">
        <f>Skim_Production*EstClsIIISkimUtPerc</f>
        <v>2162595.9251243761</v>
      </c>
      <c r="E18" s="140"/>
      <c r="F18" s="126"/>
      <c r="G18" s="144" t="s">
        <v>23</v>
      </c>
      <c r="H18" s="145">
        <f>EstClsIIIBFUtPerc</f>
        <v>0.29550000000000004</v>
      </c>
      <c r="I18" s="146">
        <f>EstClsIIISkimUtPerc</f>
        <v>0.1489</v>
      </c>
      <c r="M18" s="5"/>
    </row>
    <row r="19" spans="1:14" ht="15.75" x14ac:dyDescent="0.25">
      <c r="A19" s="131"/>
      <c r="B19" s="147">
        <f>SUM(B16:B18)</f>
        <v>15121680</v>
      </c>
      <c r="C19" s="147">
        <f>SUM(C16:C18)</f>
        <v>597865.86216000002</v>
      </c>
      <c r="D19" s="147">
        <f>SUM(D16:D18)</f>
        <v>14523814.137839999</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2032049.3136835885</v>
      </c>
      <c r="C22" s="159">
        <f>C16*MTClassIButterfatPrice</f>
        <v>722925.76918221475</v>
      </c>
      <c r="D22" s="159">
        <f>D16*MTClassISkimPrice</f>
        <v>1309123.5445013738</v>
      </c>
      <c r="E22" s="159"/>
      <c r="F22" s="160" t="s">
        <v>21</v>
      </c>
      <c r="G22" s="219">
        <v>20.11</v>
      </c>
      <c r="H22" s="162">
        <v>2.6015000000000001</v>
      </c>
      <c r="I22" s="220">
        <v>0.1140389</v>
      </c>
    </row>
    <row r="23" spans="1:14" ht="15.75" x14ac:dyDescent="0.25">
      <c r="A23" s="158" t="s">
        <v>22</v>
      </c>
      <c r="B23" s="159">
        <f>SUM(C23:D23)</f>
        <v>450313.6240326137</v>
      </c>
      <c r="C23" s="159">
        <f>C17*MTClassIIButterfatPrice</f>
        <v>369735.79367216019</v>
      </c>
      <c r="D23" s="159">
        <f>D17*MTClassIISkimPrice</f>
        <v>80577.830360453547</v>
      </c>
      <c r="E23" s="159"/>
      <c r="F23" s="160" t="s">
        <v>22</v>
      </c>
      <c r="G23" s="219">
        <v>17.850100000000001</v>
      </c>
      <c r="H23" s="162">
        <v>2.58</v>
      </c>
      <c r="I23" s="220">
        <v>9.1399999999999995E-2</v>
      </c>
    </row>
    <row r="24" spans="1:14" ht="15.75" x14ac:dyDescent="0.25">
      <c r="A24" s="164" t="s">
        <v>23</v>
      </c>
      <c r="B24" s="165">
        <f>SUM(C24:D24)</f>
        <v>619426.42896995379</v>
      </c>
      <c r="C24" s="165">
        <f>C18*MTClassIIIButterfatPrice</f>
        <v>436903.33288945648</v>
      </c>
      <c r="D24" s="165">
        <f>D18*MTClassIIISkimPrice</f>
        <v>182523.09608049734</v>
      </c>
      <c r="E24" s="159"/>
      <c r="F24" s="160" t="s">
        <v>23</v>
      </c>
      <c r="G24" s="219">
        <v>16.8001</v>
      </c>
      <c r="H24" s="162">
        <v>2.4729999999999999</v>
      </c>
      <c r="I24" s="220">
        <v>8.4400000000000003E-2</v>
      </c>
    </row>
    <row r="25" spans="1:14" ht="15.75" x14ac:dyDescent="0.25">
      <c r="A25" s="158" t="s">
        <v>119</v>
      </c>
      <c r="B25" s="159">
        <f>SUM(B22:B24)</f>
        <v>3101789.366686156</v>
      </c>
      <c r="C25" s="159">
        <f>SUM(C22:C24)</f>
        <v>1529564.8957438315</v>
      </c>
      <c r="D25" s="159">
        <f>SUM(D22:D24)</f>
        <v>1572224.4709423247</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-51450</v>
      </c>
      <c r="E27" s="159"/>
      <c r="F27" s="126"/>
      <c r="G27" s="167">
        <v>-40500</v>
      </c>
      <c r="H27" s="168">
        <v>-62400</v>
      </c>
      <c r="I27" s="152"/>
      <c r="K27"/>
    </row>
    <row r="28" spans="1:14" ht="15.75" x14ac:dyDescent="0.25">
      <c r="A28" s="158" t="s">
        <v>121</v>
      </c>
      <c r="B28" s="159"/>
      <c r="C28" s="159"/>
      <c r="D28" s="159">
        <f>SurplusAdjustmentPckgClassI</f>
        <v>-74303.45</v>
      </c>
      <c r="E28" s="159"/>
      <c r="F28" s="126"/>
      <c r="G28" s="151"/>
      <c r="H28" s="151"/>
      <c r="I28" s="152"/>
      <c r="L28" s="231"/>
      <c r="M28" s="231"/>
      <c r="N28" s="231"/>
    </row>
    <row r="29" spans="1:14" ht="15.75" x14ac:dyDescent="0.25">
      <c r="A29" s="164" t="s">
        <v>132</v>
      </c>
      <c r="B29" s="169"/>
      <c r="C29" s="169"/>
      <c r="D29" s="165">
        <f>SurplusAdjustmentBulkSales</f>
        <v>0</v>
      </c>
      <c r="E29" s="159"/>
      <c r="F29" s="126"/>
      <c r="G29" s="151"/>
      <c r="H29" s="151"/>
      <c r="I29" s="152"/>
      <c r="L29" s="231"/>
      <c r="M29" s="231"/>
      <c r="N29" s="231"/>
    </row>
    <row r="30" spans="1:14" ht="15.75" x14ac:dyDescent="0.25">
      <c r="A30" s="166" t="s">
        <v>35</v>
      </c>
      <c r="B30" s="170">
        <f>C30+D30</f>
        <v>2976035.9166861563</v>
      </c>
      <c r="C30" s="170">
        <f>SUM(C25:C29)</f>
        <v>1529564.8957438315</v>
      </c>
      <c r="D30" s="170">
        <f>SUM(D25:D29)</f>
        <v>1446471.0209423248</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2.5583747000000003</v>
      </c>
      <c r="D33" s="175">
        <f>D30/Skim_Production</f>
        <v>9.9593055048379037E-2</v>
      </c>
      <c r="E33" s="176"/>
      <c r="F33" s="160" t="s">
        <v>38</v>
      </c>
      <c r="G33" s="126"/>
      <c r="H33" s="175">
        <f>C30/Butterfat_Production</f>
        <v>2.5583747000000003</v>
      </c>
      <c r="I33" s="163">
        <f>D30/Skim_Production</f>
        <v>9.9593055048379037E-2</v>
      </c>
    </row>
    <row r="34" spans="1:9" ht="15.75" x14ac:dyDescent="0.25">
      <c r="A34" s="164" t="s">
        <v>52</v>
      </c>
      <c r="B34" s="169"/>
      <c r="C34" s="177">
        <f>(1.5/100)*B8</f>
        <v>1.12605E-4</v>
      </c>
      <c r="D34" s="177">
        <f>(1.5/100)*B8</f>
        <v>1.12605E-4</v>
      </c>
      <c r="E34" s="178"/>
      <c r="F34" s="179" t="s">
        <v>53</v>
      </c>
      <c r="G34" s="169"/>
      <c r="H34" s="177">
        <f>-(1.5/100)*(1-B8)</f>
        <v>-1.4887394999999999E-2</v>
      </c>
      <c r="I34" s="180">
        <f>-(1.5/100)*(1-B8)</f>
        <v>-1.4887394999999999E-2</v>
      </c>
    </row>
    <row r="35" spans="1:9" ht="16.5" thickBot="1" x14ac:dyDescent="0.3">
      <c r="A35" s="181" t="s">
        <v>45</v>
      </c>
      <c r="B35" s="182"/>
      <c r="C35" s="183">
        <f>SUM(C33:C34)</f>
        <v>2.5584873050000003</v>
      </c>
      <c r="D35" s="183">
        <f>SUM(D33:D34)</f>
        <v>9.9705660048379038E-2</v>
      </c>
      <c r="E35" s="184"/>
      <c r="F35" s="185" t="s">
        <v>46</v>
      </c>
      <c r="G35" s="182"/>
      <c r="H35" s="183">
        <f>SUM(H33:H34)</f>
        <v>2.5434873050000002</v>
      </c>
      <c r="I35" s="186">
        <f>SUM(I33:I34)</f>
        <v>8.4705660048379039E-2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2618014.6744954102</v>
      </c>
      <c r="C42" s="190">
        <f>EstClsIPckgSurpPoolBFUtPerc*Butterfat_Production</f>
        <v>109359.82990872073</v>
      </c>
      <c r="D42" s="190">
        <f>EstClsIPckgSurpPoolSkimUtPerc*Skim_Production</f>
        <v>2508654.8445866895</v>
      </c>
      <c r="E42" s="126"/>
      <c r="G42" s="211" t="s">
        <v>129</v>
      </c>
      <c r="H42" s="142">
        <f>EstClsIPckgSurpPoolBFUtPerc</f>
        <v>0.182917</v>
      </c>
      <c r="I42" s="143">
        <f>EstClsIPckgSurpPoolSkimUtPerc</f>
        <v>0.17272699999999999</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1109200</v>
      </c>
      <c r="C45" s="192"/>
      <c r="D45" s="192"/>
      <c r="E45" s="126"/>
      <c r="F45" s="142">
        <f>PercClsIPckgSurptoContigStates</f>
        <v>0.42368000000000006</v>
      </c>
      <c r="G45" s="126"/>
      <c r="H45" s="149"/>
      <c r="I45" s="150"/>
    </row>
    <row r="46" spans="1:9" ht="15.75" x14ac:dyDescent="0.25">
      <c r="A46" s="194" t="s">
        <v>117</v>
      </c>
      <c r="B46" s="192">
        <f>B42-B45</f>
        <v>1508814.6744954102</v>
      </c>
      <c r="C46" s="192"/>
      <c r="D46" s="192"/>
      <c r="E46" s="126"/>
      <c r="F46" s="195">
        <f>1-F45</f>
        <v>0.57631999999999994</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-28284.6</v>
      </c>
      <c r="C50" s="192"/>
      <c r="D50" s="192"/>
      <c r="E50" s="126"/>
      <c r="F50" s="197">
        <v>-2.5499999999999998</v>
      </c>
      <c r="G50" s="126"/>
      <c r="H50" s="149"/>
      <c r="I50" s="150"/>
    </row>
    <row r="51" spans="1:11" ht="15.75" x14ac:dyDescent="0.25">
      <c r="A51" s="198" t="s">
        <v>117</v>
      </c>
      <c r="B51" s="165">
        <f>ROUND(B46/100*F51,2)</f>
        <v>-46018.85</v>
      </c>
      <c r="C51" s="192"/>
      <c r="D51" s="192"/>
      <c r="E51" s="126"/>
      <c r="F51" s="197">
        <v>-3.05</v>
      </c>
      <c r="G51" s="126"/>
      <c r="H51" s="149"/>
      <c r="I51" s="150"/>
    </row>
    <row r="52" spans="1:11" ht="31.5" x14ac:dyDescent="0.25">
      <c r="A52" s="199" t="s">
        <v>128</v>
      </c>
      <c r="B52" s="170">
        <f>SUM(B50:B51)</f>
        <v>-74303.45</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-1.8</v>
      </c>
      <c r="G59" s="167">
        <f>ROUND(L91,2)</f>
        <v>-1.8</v>
      </c>
      <c r="H59" s="168">
        <f>ROUND(J91,2)</f>
        <v>-1.8</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3.9537000000000003E-2</v>
      </c>
    </row>
    <row r="68" spans="1:16" hidden="1" x14ac:dyDescent="0.25">
      <c r="A68" s="1" t="s">
        <v>145</v>
      </c>
      <c r="B68" s="268">
        <v>2.573</v>
      </c>
      <c r="C68" s="1" t="s">
        <v>199</v>
      </c>
      <c r="D68" s="1" t="s">
        <v>204</v>
      </c>
    </row>
    <row r="69" spans="1:16" hidden="1" x14ac:dyDescent="0.25">
      <c r="A69" s="1" t="s">
        <v>146</v>
      </c>
      <c r="B69" s="268">
        <v>8.5500000000000007E-2</v>
      </c>
      <c r="C69" s="1" t="s">
        <v>199</v>
      </c>
      <c r="D69" s="1" t="s">
        <v>204</v>
      </c>
    </row>
    <row r="70" spans="1:16" hidden="1" x14ac:dyDescent="0.25">
      <c r="A70" s="1" t="s">
        <v>144</v>
      </c>
      <c r="B70" s="268">
        <v>8.4400000000000003E-2</v>
      </c>
      <c r="C70" s="1" t="s">
        <v>199</v>
      </c>
      <c r="D70" s="1" t="s">
        <v>204</v>
      </c>
    </row>
    <row r="71" spans="1:16" hidden="1" x14ac:dyDescent="0.25">
      <c r="B71" s="230"/>
    </row>
    <row r="72" spans="1:16" hidden="1" x14ac:dyDescent="0.25">
      <c r="A72" t="s">
        <v>147</v>
      </c>
      <c r="B72" s="230">
        <f>MTClassIIISkimPrice</f>
        <v>8.4400000000000003E-2</v>
      </c>
    </row>
    <row r="73" spans="1:16" hidden="1" x14ac:dyDescent="0.25">
      <c r="A73" t="s">
        <v>148</v>
      </c>
      <c r="B73" s="230">
        <f>MTClassIIIButterfatPrice</f>
        <v>2.4729999999999999</v>
      </c>
    </row>
    <row r="74" spans="1:16" hidden="1" x14ac:dyDescent="0.25"/>
    <row r="75" spans="1:16" hidden="1" x14ac:dyDescent="0.25"/>
    <row r="76" spans="1:16" hidden="1" x14ac:dyDescent="0.25">
      <c r="A76" t="s">
        <v>149</v>
      </c>
      <c r="B76" s="231">
        <f>(100*B67*B68)+(100*(1-B67)*B70)</f>
        <v>18.279177820000001</v>
      </c>
    </row>
    <row r="77" spans="1:16" hidden="1" x14ac:dyDescent="0.25">
      <c r="A77" t="s">
        <v>150</v>
      </c>
      <c r="B77" s="231">
        <f>(100*B67*B73+100*(1-B67)*B72)</f>
        <v>17.883807820000001</v>
      </c>
    </row>
    <row r="78" spans="1:16" hidden="1" x14ac:dyDescent="0.25"/>
    <row r="79" spans="1:16" ht="60" hidden="1" x14ac:dyDescent="0.25">
      <c r="F79" s="232" t="s">
        <v>156</v>
      </c>
      <c r="G79" s="232" t="s">
        <v>157</v>
      </c>
      <c r="H79" s="232" t="s">
        <v>158</v>
      </c>
      <c r="J79" s="234" t="s">
        <v>159</v>
      </c>
      <c r="K79" s="239" t="s">
        <v>160</v>
      </c>
      <c r="L79" s="234" t="s">
        <v>161</v>
      </c>
      <c r="N79" s="238" t="s">
        <v>163</v>
      </c>
      <c r="O79" s="238" t="s">
        <v>162</v>
      </c>
      <c r="P79" s="238" t="s">
        <v>164</v>
      </c>
    </row>
    <row r="80" spans="1:16" hidden="1" x14ac:dyDescent="0.25">
      <c r="A80" t="s">
        <v>151</v>
      </c>
      <c r="B80" s="231">
        <f>B76</f>
        <v>18.279177820000001</v>
      </c>
    </row>
    <row r="81" spans="1:16" hidden="1" x14ac:dyDescent="0.25">
      <c r="A81" t="s">
        <v>153</v>
      </c>
      <c r="B81" s="231">
        <v>-2.2000000000000002</v>
      </c>
    </row>
    <row r="82" spans="1:16" hidden="1" x14ac:dyDescent="0.25">
      <c r="A82" s="244" t="s">
        <v>186</v>
      </c>
      <c r="B82" s="235">
        <f>-B77</f>
        <v>-17.883807820000001</v>
      </c>
    </row>
    <row r="83" spans="1:16" hidden="1" x14ac:dyDescent="0.25">
      <c r="A83" t="s">
        <v>152</v>
      </c>
      <c r="B83" s="231">
        <f>SUM(B80:B82)</f>
        <v>-1.8046299999999995</v>
      </c>
      <c r="F83" s="5">
        <f>N83/N$91</f>
        <v>1</v>
      </c>
      <c r="G83" s="5">
        <f>O83/O$91</f>
        <v>1</v>
      </c>
      <c r="H83" s="5">
        <f>P83/P$91</f>
        <v>1</v>
      </c>
      <c r="J83" s="231">
        <f>$B83*F83</f>
        <v>-1.8046299999999995</v>
      </c>
      <c r="K83" s="231">
        <f>$B83*G83</f>
        <v>-1.8046299999999995</v>
      </c>
      <c r="L83" s="231">
        <f>$B83*H83</f>
        <v>-1.8046299999999995</v>
      </c>
      <c r="N83" s="237">
        <f>O83-65000*2</f>
        <v>1088300</v>
      </c>
      <c r="O83" s="237">
        <v>1218300</v>
      </c>
      <c r="P83" s="237">
        <f>O83+65000*2</f>
        <v>1348300</v>
      </c>
    </row>
    <row r="84" spans="1:16" hidden="1" x14ac:dyDescent="0.25"/>
    <row r="85" spans="1:16" hidden="1" x14ac:dyDescent="0.25">
      <c r="A85" t="s">
        <v>187</v>
      </c>
      <c r="B85" s="233">
        <f>B77</f>
        <v>17.883807820000001</v>
      </c>
    </row>
    <row r="86" spans="1:16" hidden="1" x14ac:dyDescent="0.25">
      <c r="A86" t="s">
        <v>188</v>
      </c>
      <c r="B86" s="233">
        <v>0</v>
      </c>
    </row>
    <row r="87" spans="1:16" hidden="1" x14ac:dyDescent="0.25">
      <c r="A87" t="s">
        <v>154</v>
      </c>
      <c r="B87" s="233">
        <v>-5.43</v>
      </c>
    </row>
    <row r="88" spans="1:16" hidden="1" x14ac:dyDescent="0.25">
      <c r="A88" s="244" t="s">
        <v>186</v>
      </c>
      <c r="B88" s="235">
        <f>-B77</f>
        <v>-17.883807820000001</v>
      </c>
    </row>
    <row r="89" spans="1:16" hidden="1" x14ac:dyDescent="0.25">
      <c r="A89" t="s">
        <v>155</v>
      </c>
      <c r="B89" s="231">
        <f>SUM(B85:B88)</f>
        <v>-5.43</v>
      </c>
      <c r="F89" s="5">
        <f>N89/N$91</f>
        <v>0</v>
      </c>
      <c r="G89" s="5">
        <f t="shared" ref="G89:H89" si="0">O89/O$91</f>
        <v>0</v>
      </c>
      <c r="H89" s="5">
        <f t="shared" si="0"/>
        <v>0</v>
      </c>
      <c r="J89" s="235">
        <f>$B89*F89</f>
        <v>0</v>
      </c>
      <c r="K89" s="235">
        <f>$B89*G89</f>
        <v>0</v>
      </c>
      <c r="L89" s="235">
        <f>$B89*H89</f>
        <v>0</v>
      </c>
      <c r="N89" s="237">
        <v>0</v>
      </c>
      <c r="O89" s="237">
        <v>0</v>
      </c>
      <c r="P89" s="237">
        <v>0</v>
      </c>
    </row>
    <row r="90" spans="1:16" hidden="1" x14ac:dyDescent="0.25"/>
    <row r="91" spans="1:16" hidden="1" x14ac:dyDescent="0.25">
      <c r="F91" s="5">
        <f>SUM(F80:F89)</f>
        <v>1</v>
      </c>
      <c r="G91" s="5">
        <f>SUM(G80:G89)</f>
        <v>1</v>
      </c>
      <c r="H91" s="5">
        <f>SUM(H80:H89)</f>
        <v>1</v>
      </c>
      <c r="I91" s="236" t="s">
        <v>54</v>
      </c>
      <c r="J91" s="231">
        <f>SUM(J80:J89)</f>
        <v>-1.8046299999999995</v>
      </c>
      <c r="K91" s="240">
        <f>SUM(K80:K89)</f>
        <v>-1.8046299999999995</v>
      </c>
      <c r="L91" s="231">
        <f>SUM(L80:L89)</f>
        <v>-1.8046299999999995</v>
      </c>
      <c r="N91" s="237">
        <f>SUM(N80:N89)</f>
        <v>1088300</v>
      </c>
      <c r="O91" s="237">
        <f>SUM(O80:O89)</f>
        <v>1218300</v>
      </c>
      <c r="P91" s="237">
        <f>SUM(P80:P89)</f>
        <v>1348300</v>
      </c>
    </row>
  </sheetData>
  <sheetProtection algorithmName="SHA-512" hashValue="BCJFV9vShQ7VAGmdiLcyIHQ9nBs/JZTGVSTKzHGozNhpaic36/z2aKJJVNSJYBfOrtW2AQelx90nwGlZ1WJUxw==" saltValue="+1KwCO/lqDKU7j8AgWezHA==" spinCount="100000" sheet="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workbookViewId="0">
      <selection activeCell="A31" sqref="A31:XFD68"/>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45809</v>
      </c>
    </row>
    <row r="4" spans="1:2" x14ac:dyDescent="0.25">
      <c r="B4" s="37" t="s">
        <v>60</v>
      </c>
    </row>
    <row r="5" spans="1:2" x14ac:dyDescent="0.25">
      <c r="A5" s="2" t="s">
        <v>50</v>
      </c>
      <c r="B5" s="33">
        <f>PoolDailyProd</f>
        <v>504056</v>
      </c>
    </row>
    <row r="6" spans="1:2" x14ac:dyDescent="0.25">
      <c r="A6" s="36" t="s">
        <v>77</v>
      </c>
      <c r="B6" s="32">
        <f>PoolButterfatPercent</f>
        <v>3.9537000000000003E-2</v>
      </c>
    </row>
    <row r="7" spans="1:2" x14ac:dyDescent="0.25">
      <c r="A7" s="2" t="s">
        <v>51</v>
      </c>
      <c r="B7" s="32">
        <f>PoolOverQuotaProdPerc</f>
        <v>7.5069999999999998E-3</v>
      </c>
    </row>
    <row r="8" spans="1:2" x14ac:dyDescent="0.25">
      <c r="B8" s="31"/>
    </row>
    <row r="9" spans="1:2" x14ac:dyDescent="0.25">
      <c r="A9" t="s">
        <v>75</v>
      </c>
      <c r="B9" s="31"/>
    </row>
    <row r="10" spans="1:2" x14ac:dyDescent="0.25">
      <c r="A10" s="35" t="s">
        <v>21</v>
      </c>
      <c r="B10" s="32">
        <f>EstClsIBFUtPerc</f>
        <v>0.46479999999999999</v>
      </c>
    </row>
    <row r="11" spans="1:2" x14ac:dyDescent="0.25">
      <c r="A11" s="35" t="s">
        <v>22</v>
      </c>
      <c r="B11" s="32">
        <f>EstClsIIBFUtPerc</f>
        <v>0.2397</v>
      </c>
    </row>
    <row r="12" spans="1:2" x14ac:dyDescent="0.25">
      <c r="A12" s="35" t="s">
        <v>23</v>
      </c>
      <c r="B12" s="38">
        <f>EstClsIIIBFUtPerc</f>
        <v>0.29550000000000004</v>
      </c>
    </row>
    <row r="13" spans="1:2" x14ac:dyDescent="0.25">
      <c r="B13" s="32">
        <f>SUM(B10:B12)</f>
        <v>1</v>
      </c>
    </row>
    <row r="14" spans="1:2" x14ac:dyDescent="0.25">
      <c r="B14" s="31"/>
    </row>
    <row r="15" spans="1:2" x14ac:dyDescent="0.25">
      <c r="A15" t="s">
        <v>76</v>
      </c>
      <c r="B15" s="31"/>
    </row>
    <row r="16" spans="1:2" x14ac:dyDescent="0.25">
      <c r="A16" s="35" t="s">
        <v>21</v>
      </c>
      <c r="B16" s="32">
        <f>EstClsISkimUtPerc</f>
        <v>0.79039999999999999</v>
      </c>
    </row>
    <row r="17" spans="1:2" x14ac:dyDescent="0.25">
      <c r="A17" s="35" t="s">
        <v>22</v>
      </c>
      <c r="B17" s="32">
        <f>EstClsIISkimUTPerc</f>
        <v>6.0699999999999997E-2</v>
      </c>
    </row>
    <row r="18" spans="1:2" x14ac:dyDescent="0.25">
      <c r="A18" s="35" t="s">
        <v>23</v>
      </c>
      <c r="B18" s="38">
        <f>EstClsIIISkimUtPerc</f>
        <v>0.1489</v>
      </c>
    </row>
    <row r="19" spans="1:2" x14ac:dyDescent="0.25">
      <c r="B19" s="32">
        <f>SUM(B16:B18)</f>
        <v>1</v>
      </c>
    </row>
    <row r="20" spans="1:2" x14ac:dyDescent="0.25">
      <c r="B20" s="32"/>
    </row>
    <row r="21" spans="1:2" ht="15.75" x14ac:dyDescent="0.25">
      <c r="A21" s="213" t="s">
        <v>141</v>
      </c>
      <c r="B21" s="39">
        <f>'Quota Price Estimator'!D27</f>
        <v>-51450</v>
      </c>
    </row>
    <row r="22" spans="1:2" x14ac:dyDescent="0.25">
      <c r="B22" s="31"/>
    </row>
    <row r="23" spans="1:2" x14ac:dyDescent="0.25">
      <c r="A23" t="s">
        <v>133</v>
      </c>
      <c r="B23" s="32">
        <f>EstClsIPckgSurpPoolBFUtPerc</f>
        <v>0.182917</v>
      </c>
    </row>
    <row r="24" spans="1:2" x14ac:dyDescent="0.25">
      <c r="A24" t="s">
        <v>134</v>
      </c>
      <c r="B24" s="32">
        <f>EstClsIPckgSurpPoolSkimUtPerc</f>
        <v>0.17272699999999999</v>
      </c>
    </row>
    <row r="25" spans="1:2" x14ac:dyDescent="0.25">
      <c r="B25" s="31"/>
    </row>
    <row r="26" spans="1:2" x14ac:dyDescent="0.25">
      <c r="A26" t="s">
        <v>136</v>
      </c>
      <c r="B26" s="32">
        <f>PercClsIPckgSurptoContigStates</f>
        <v>0.42368000000000006</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-1.8</v>
      </c>
    </row>
    <row r="32" spans="1:2" hidden="1" x14ac:dyDescent="0.25"/>
    <row r="33" spans="1:2" hidden="1" x14ac:dyDescent="0.25"/>
    <row r="34" spans="1:2" ht="30" hidden="1" x14ac:dyDescent="0.25">
      <c r="B34" s="4" t="s">
        <v>185</v>
      </c>
    </row>
    <row r="35" spans="1:2" hidden="1" x14ac:dyDescent="0.25">
      <c r="A35" t="s">
        <v>167</v>
      </c>
      <c r="B35" s="247">
        <f>'Dairy Revenue Estimator'!B9</f>
        <v>18.576301762168576</v>
      </c>
    </row>
    <row r="36" spans="1:2" hidden="1" x14ac:dyDescent="0.25">
      <c r="A36" t="s">
        <v>168</v>
      </c>
      <c r="B36" s="248">
        <f>'Dairy Revenue Estimator'!C9</f>
        <v>2.5584873050000003</v>
      </c>
    </row>
    <row r="37" spans="1:2" hidden="1" x14ac:dyDescent="0.25">
      <c r="A37" t="s">
        <v>169</v>
      </c>
      <c r="B37" s="248">
        <f>'Dairy Revenue Estimator'!D9</f>
        <v>9.9705660048379038E-2</v>
      </c>
    </row>
    <row r="38" spans="1:2" hidden="1" x14ac:dyDescent="0.25">
      <c r="B38" s="245"/>
    </row>
    <row r="39" spans="1:2" hidden="1" x14ac:dyDescent="0.25">
      <c r="A39" t="s">
        <v>19</v>
      </c>
      <c r="B39" s="249">
        <f>'Quota Price Estimator'!B13</f>
        <v>15121680</v>
      </c>
    </row>
    <row r="40" spans="1:2" hidden="1" x14ac:dyDescent="0.25">
      <c r="B40" s="245"/>
    </row>
    <row r="41" spans="1:2" hidden="1" x14ac:dyDescent="0.25">
      <c r="A41" t="s">
        <v>170</v>
      </c>
      <c r="B41" s="250">
        <f>'Quota Price Estimator'!B7</f>
        <v>3.9537000000000003E-2</v>
      </c>
    </row>
    <row r="42" spans="1:2" hidden="1" x14ac:dyDescent="0.25">
      <c r="B42" s="246"/>
    </row>
    <row r="43" spans="1:2" hidden="1" x14ac:dyDescent="0.25">
      <c r="A43" t="s">
        <v>171</v>
      </c>
      <c r="B43" s="250">
        <f>'Quota Price Estimator'!B8</f>
        <v>7.5069999999999998E-3</v>
      </c>
    </row>
    <row r="44" spans="1:2" hidden="1" x14ac:dyDescent="0.25">
      <c r="B44" s="245"/>
    </row>
    <row r="45" spans="1:2" hidden="1" x14ac:dyDescent="0.25">
      <c r="A45" t="s">
        <v>172</v>
      </c>
      <c r="B45" s="251">
        <f>'Quota Price Estimator'!H16</f>
        <v>0.46479999999999999</v>
      </c>
    </row>
    <row r="46" spans="1:2" hidden="1" x14ac:dyDescent="0.25">
      <c r="A46" t="s">
        <v>173</v>
      </c>
      <c r="B46" s="251">
        <f>'Quota Price Estimator'!H17</f>
        <v>0.2397</v>
      </c>
    </row>
    <row r="47" spans="1:2" hidden="1" x14ac:dyDescent="0.25">
      <c r="A47" t="s">
        <v>174</v>
      </c>
      <c r="B47" s="251">
        <f>'Quota Price Estimator'!H18</f>
        <v>0.29550000000000004</v>
      </c>
    </row>
    <row r="48" spans="1:2" hidden="1" x14ac:dyDescent="0.25">
      <c r="B48" s="246"/>
    </row>
    <row r="49" spans="1:2" hidden="1" x14ac:dyDescent="0.25">
      <c r="A49" t="s">
        <v>175</v>
      </c>
      <c r="B49" s="251">
        <f>'Quota Price Estimator'!I16</f>
        <v>0.79039999999999999</v>
      </c>
    </row>
    <row r="50" spans="1:2" hidden="1" x14ac:dyDescent="0.25">
      <c r="A50" t="s">
        <v>176</v>
      </c>
      <c r="B50" s="251">
        <f>'Quota Price Estimator'!I17</f>
        <v>6.0699999999999997E-2</v>
      </c>
    </row>
    <row r="51" spans="1:2" hidden="1" x14ac:dyDescent="0.25">
      <c r="A51" t="s">
        <v>177</v>
      </c>
      <c r="B51" s="251">
        <f>'Quota Price Estimator'!I18</f>
        <v>0.1489</v>
      </c>
    </row>
    <row r="52" spans="1:2" hidden="1" x14ac:dyDescent="0.25">
      <c r="B52" s="245"/>
    </row>
    <row r="53" spans="1:2" hidden="1" x14ac:dyDescent="0.25">
      <c r="A53" t="s">
        <v>178</v>
      </c>
      <c r="B53" s="252">
        <f>ROUND('Quota Price Estimator'!B42/100,2)</f>
        <v>26180.15</v>
      </c>
    </row>
    <row r="54" spans="1:2" hidden="1" x14ac:dyDescent="0.25">
      <c r="A54" t="s">
        <v>179</v>
      </c>
      <c r="B54" s="253">
        <f>SurplusAdjustmentPckgClassI</f>
        <v>-74303.45</v>
      </c>
    </row>
    <row r="55" spans="1:2" hidden="1" x14ac:dyDescent="0.25">
      <c r="B55" s="245"/>
    </row>
    <row r="56" spans="1:2" hidden="1" x14ac:dyDescent="0.25">
      <c r="A56" t="s">
        <v>180</v>
      </c>
      <c r="B56" s="252">
        <f>ROUND('Quota Price Estimator'!B56/100,2)</f>
        <v>0</v>
      </c>
    </row>
    <row r="57" spans="1:2" hidden="1" x14ac:dyDescent="0.25">
      <c r="A57" t="s">
        <v>181</v>
      </c>
      <c r="B57" s="253">
        <f>'Quota Price Estimator'!F59</f>
        <v>-1.8</v>
      </c>
    </row>
    <row r="58" spans="1:2" hidden="1" x14ac:dyDescent="0.25">
      <c r="A58" t="s">
        <v>182</v>
      </c>
      <c r="B58" s="253">
        <f>SurplusAdjustmentBulkSales</f>
        <v>0</v>
      </c>
    </row>
    <row r="59" spans="1:2" hidden="1" x14ac:dyDescent="0.25">
      <c r="B59" s="245"/>
    </row>
    <row r="60" spans="1:2" hidden="1" x14ac:dyDescent="0.25">
      <c r="A60" t="s">
        <v>183</v>
      </c>
      <c r="B60" s="253">
        <f>'Quota Price Estimator'!D27</f>
        <v>-51450</v>
      </c>
    </row>
    <row r="61" spans="1:2" hidden="1" x14ac:dyDescent="0.25">
      <c r="B61" s="245"/>
    </row>
    <row r="62" spans="1:2" hidden="1" x14ac:dyDescent="0.25">
      <c r="A62" s="40" t="s">
        <v>184</v>
      </c>
      <c r="B62" s="253">
        <f>'Quota Price Estimator'!B30</f>
        <v>2976035.9166861563</v>
      </c>
    </row>
    <row r="63" spans="1:2" hidden="1" x14ac:dyDescent="0.25"/>
    <row r="64" spans="1:2" hidden="1" x14ac:dyDescent="0.25"/>
    <row r="65" hidden="1" x14ac:dyDescent="0.25"/>
    <row r="66" hidden="1" x14ac:dyDescent="0.25"/>
  </sheetData>
  <sheetProtection algorithmName="SHA-512" hashValue="zKmMTJlSm5FQ7F0SxVpG9jAPibYCK7lfZl1N8mTK5dbzLT+4ncCekYM9si4VzX/aO0a3AYP7BkkN+pv+WeAyVg==" saltValue="oSSYjELIVqmfeFMl28I6X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7"/>
  <sheetViews>
    <sheetView topLeftCell="A97" workbookViewId="0">
      <selection activeCell="G137" sqref="G137"/>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214</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7" si="9">SUM(B96:D96)</f>
        <v>1</v>
      </c>
      <c r="G96" s="15">
        <v>45108</v>
      </c>
      <c r="H96" s="13">
        <v>0.90710000000000002</v>
      </c>
      <c r="I96" s="13">
        <v>3.9800000000000002E-2</v>
      </c>
      <c r="J96" s="13">
        <v>5.3100000000000001E-2</v>
      </c>
      <c r="K96" s="13">
        <f t="shared" ref="K96:K117"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v>45748</v>
      </c>
      <c r="B117" s="13">
        <v>0.50600000000000001</v>
      </c>
      <c r="C117" s="13">
        <v>0.17299999999999999</v>
      </c>
      <c r="D117" s="13">
        <v>0.32100000000000001</v>
      </c>
      <c r="E117" s="13">
        <f t="shared" si="9"/>
        <v>1</v>
      </c>
      <c r="G117" s="15">
        <v>45748</v>
      </c>
      <c r="H117" s="13">
        <v>0.84389999999999998</v>
      </c>
      <c r="I117" s="13">
        <v>2.4899999999999999E-2</v>
      </c>
      <c r="J117" s="13">
        <v>0.13120000000000001</v>
      </c>
      <c r="K117" s="13">
        <f t="shared" si="10"/>
        <v>1</v>
      </c>
    </row>
    <row r="118" spans="1:17" x14ac:dyDescent="0.25">
      <c r="A118" s="14"/>
      <c r="B118" s="13"/>
      <c r="C118" s="13"/>
      <c r="D118" s="13"/>
      <c r="E118" s="13"/>
      <c r="G118" s="15"/>
      <c r="H118" s="13"/>
      <c r="I118" s="13"/>
      <c r="J118" s="13"/>
      <c r="K118" s="13"/>
    </row>
    <row r="119" spans="1:17" x14ac:dyDescent="0.25">
      <c r="A119" s="14"/>
      <c r="B119" s="13"/>
      <c r="C119" s="13"/>
      <c r="D119" s="13"/>
      <c r="E119" s="13"/>
      <c r="G119" s="15"/>
      <c r="H119" s="13"/>
      <c r="I119" s="13"/>
      <c r="J119" s="13"/>
      <c r="K119" s="13"/>
    </row>
    <row r="120" spans="1:17" x14ac:dyDescent="0.25">
      <c r="A120" s="16" t="s">
        <v>62</v>
      </c>
      <c r="B120" s="17"/>
      <c r="C120" s="17"/>
      <c r="D120" s="17"/>
      <c r="E120" s="17"/>
      <c r="G120" s="16" t="s">
        <v>61</v>
      </c>
      <c r="H120" s="19"/>
      <c r="I120" s="19"/>
      <c r="J120" s="19"/>
      <c r="K120" s="19"/>
    </row>
    <row r="121" spans="1:17" x14ac:dyDescent="0.25">
      <c r="A121" s="27">
        <f>Pooling_Month</f>
        <v>45809</v>
      </c>
      <c r="B121" s="28" t="s">
        <v>21</v>
      </c>
      <c r="C121" s="28" t="s">
        <v>22</v>
      </c>
      <c r="D121" s="28" t="s">
        <v>23</v>
      </c>
      <c r="E121" s="28" t="s">
        <v>54</v>
      </c>
      <c r="G121" s="27">
        <f>Pooling_Month</f>
        <v>45809</v>
      </c>
      <c r="H121" s="28" t="s">
        <v>21</v>
      </c>
      <c r="I121" s="28" t="s">
        <v>22</v>
      </c>
      <c r="J121" s="28" t="s">
        <v>23</v>
      </c>
      <c r="K121" s="28" t="s">
        <v>54</v>
      </c>
      <c r="P121" s="100" t="s">
        <v>165</v>
      </c>
      <c r="Q121" s="100" t="s">
        <v>166</v>
      </c>
    </row>
    <row r="122" spans="1:17" x14ac:dyDescent="0.25">
      <c r="A122" s="31" t="s">
        <v>60</v>
      </c>
      <c r="B122" s="32">
        <v>0.46479999999999999</v>
      </c>
      <c r="C122" s="32">
        <v>0.2397</v>
      </c>
      <c r="D122" s="32">
        <v>0.29550000000000004</v>
      </c>
      <c r="E122" s="13">
        <f>SUM(B122:D122)</f>
        <v>1</v>
      </c>
      <c r="G122" s="31" t="s">
        <v>60</v>
      </c>
      <c r="H122" s="32">
        <v>0.79039999999999999</v>
      </c>
      <c r="I122" s="32">
        <v>6.0699999999999997E-2</v>
      </c>
      <c r="J122" s="32">
        <v>0.1489</v>
      </c>
      <c r="K122" s="13">
        <f>SUM(H122:J122)</f>
        <v>1</v>
      </c>
      <c r="M122" s="30"/>
      <c r="O122" s="99"/>
      <c r="P122" s="13">
        <f>1-E122</f>
        <v>0</v>
      </c>
      <c r="Q122" s="227">
        <f>1-K122</f>
        <v>0</v>
      </c>
    </row>
    <row r="124" spans="1:17" ht="15.75" hidden="1" customHeight="1" x14ac:dyDescent="0.25">
      <c r="L124" t="s">
        <v>198</v>
      </c>
      <c r="M124" s="100"/>
      <c r="N124" s="100"/>
      <c r="O124" s="100"/>
      <c r="P124" s="100"/>
      <c r="Q124" s="100"/>
    </row>
    <row r="125" spans="1:17" ht="30" hidden="1" x14ac:dyDescent="0.25">
      <c r="A125" s="40" t="s">
        <v>215</v>
      </c>
      <c r="B125" s="13">
        <f>B107-B105</f>
        <v>-4.1200000000000014E-2</v>
      </c>
      <c r="C125" s="13">
        <f t="shared" ref="C125:D125" si="11">C107-C105</f>
        <v>6.6700000000000009E-2</v>
      </c>
      <c r="D125" s="13">
        <f t="shared" si="11"/>
        <v>-2.5499999999999967E-2</v>
      </c>
      <c r="E125" s="13">
        <f t="shared" ref="E125" si="12">E106-E104</f>
        <v>0</v>
      </c>
      <c r="F125" s="13"/>
      <c r="G125" s="13"/>
      <c r="H125" s="13">
        <f>H107-H105</f>
        <v>-5.3499999999999992E-2</v>
      </c>
      <c r="I125" s="13">
        <f t="shared" ref="I125:K125" si="13">I107-I105</f>
        <v>3.5799999999999998E-2</v>
      </c>
      <c r="J125" s="13">
        <f t="shared" si="13"/>
        <v>1.7699999999999994E-2</v>
      </c>
      <c r="K125" s="13">
        <f t="shared" si="13"/>
        <v>0</v>
      </c>
      <c r="M125" s="30"/>
      <c r="O125" s="99"/>
      <c r="Q125" s="30"/>
    </row>
    <row r="126" spans="1:17" ht="15.75" hidden="1" customHeight="1" x14ac:dyDescent="0.25">
      <c r="A126" s="93" t="s">
        <v>216</v>
      </c>
      <c r="B126" s="13">
        <f>B117</f>
        <v>0.50600000000000001</v>
      </c>
      <c r="C126" s="13">
        <f t="shared" ref="C126:D126" si="14">C117</f>
        <v>0.17299999999999999</v>
      </c>
      <c r="D126" s="13">
        <f t="shared" si="14"/>
        <v>0.32100000000000001</v>
      </c>
      <c r="E126" s="13">
        <f t="shared" ref="E126" si="15">E116</f>
        <v>1</v>
      </c>
      <c r="F126" s="13"/>
      <c r="G126" s="13"/>
      <c r="H126" s="13">
        <f>H117</f>
        <v>0.84389999999999998</v>
      </c>
      <c r="I126" s="13">
        <f t="shared" ref="I126:K126" si="16">I117</f>
        <v>2.4899999999999999E-2</v>
      </c>
      <c r="J126" s="13">
        <f t="shared" si="16"/>
        <v>0.13120000000000001</v>
      </c>
      <c r="K126" s="13">
        <f t="shared" si="16"/>
        <v>1</v>
      </c>
      <c r="M126" s="30">
        <f>C126/I126</f>
        <v>6.9477911646586348</v>
      </c>
      <c r="N126" s="228"/>
      <c r="O126" s="99">
        <f>C126/I126</f>
        <v>6.9477911646586348</v>
      </c>
      <c r="Q126" s="30"/>
    </row>
    <row r="127" spans="1:17" hidden="1" x14ac:dyDescent="0.25">
      <c r="A127" s="269" t="s">
        <v>205</v>
      </c>
      <c r="B127" s="257">
        <f>SUM(B125:B126)</f>
        <v>0.46479999999999999</v>
      </c>
      <c r="C127" s="257">
        <f t="shared" ref="C127:D127" si="17">SUM(C125:C126)</f>
        <v>0.2397</v>
      </c>
      <c r="D127" s="257">
        <f t="shared" si="17"/>
        <v>0.29550000000000004</v>
      </c>
      <c r="E127" s="13">
        <f t="shared" ref="E127:K127" si="18">SUM(E125:E126)</f>
        <v>1</v>
      </c>
      <c r="F127" s="257"/>
      <c r="G127" s="257"/>
      <c r="H127" s="257">
        <f t="shared" si="18"/>
        <v>0.79039999999999999</v>
      </c>
      <c r="I127" s="257">
        <f t="shared" si="18"/>
        <v>6.0699999999999997E-2</v>
      </c>
      <c r="J127" s="257">
        <f t="shared" si="18"/>
        <v>0.1489</v>
      </c>
      <c r="K127" s="257">
        <f t="shared" si="18"/>
        <v>1</v>
      </c>
      <c r="M127" s="30">
        <f>C127/I127</f>
        <v>3.9489291598023066</v>
      </c>
      <c r="O127" s="99">
        <f>C127/I127</f>
        <v>3.9489291598023066</v>
      </c>
      <c r="Q127" s="30"/>
    </row>
    <row r="128" spans="1:17" hidden="1" x14ac:dyDescent="0.25">
      <c r="A128" s="92" t="s">
        <v>206</v>
      </c>
      <c r="B128" s="13">
        <f>B107</f>
        <v>0.49209999999999998</v>
      </c>
      <c r="C128" s="13">
        <f t="shared" ref="C128:D128" si="19">C107</f>
        <v>0.21970000000000001</v>
      </c>
      <c r="D128" s="13">
        <f t="shared" si="19"/>
        <v>0.28820000000000001</v>
      </c>
      <c r="E128" s="13">
        <f t="shared" ref="E128" si="20">E106</f>
        <v>1</v>
      </c>
      <c r="F128" s="13"/>
      <c r="G128" s="13"/>
      <c r="H128" s="13">
        <f>H107</f>
        <v>0.85309999999999997</v>
      </c>
      <c r="I128" s="13">
        <f t="shared" ref="I128:K128" si="21">I107</f>
        <v>3.6999999999999998E-2</v>
      </c>
      <c r="J128" s="13">
        <f t="shared" si="21"/>
        <v>0.1099</v>
      </c>
      <c r="K128" s="13">
        <f t="shared" si="21"/>
        <v>1</v>
      </c>
      <c r="M128" s="30">
        <f>C128/I128</f>
        <v>5.9378378378378383</v>
      </c>
      <c r="N128" s="228"/>
      <c r="O128" s="99">
        <f>C128/I128</f>
        <v>5.9378378378378383</v>
      </c>
      <c r="Q128" s="30"/>
    </row>
    <row r="129" spans="1:17" hidden="1" x14ac:dyDescent="0.25">
      <c r="A129" t="s">
        <v>83</v>
      </c>
      <c r="B129" s="257">
        <f>AVERAGE(B127:B128)</f>
        <v>0.47844999999999999</v>
      </c>
      <c r="C129" s="257">
        <f t="shared" ref="C129:D129" si="22">AVERAGE(C127:C128)</f>
        <v>0.22970000000000002</v>
      </c>
      <c r="D129" s="257">
        <f t="shared" si="22"/>
        <v>0.29185000000000005</v>
      </c>
      <c r="E129" s="13">
        <f t="shared" ref="E129:J129" si="23">AVERAGE(E127:E128)</f>
        <v>1</v>
      </c>
      <c r="F129" s="257"/>
      <c r="G129" s="257"/>
      <c r="H129" s="257">
        <f t="shared" si="23"/>
        <v>0.82174999999999998</v>
      </c>
      <c r="I129" s="257">
        <f t="shared" si="23"/>
        <v>4.8849999999999998E-2</v>
      </c>
      <c r="J129" s="257">
        <f t="shared" si="23"/>
        <v>0.12940000000000002</v>
      </c>
      <c r="K129" s="13">
        <f>AVERAGE(K127:K128)</f>
        <v>1</v>
      </c>
      <c r="L129" s="257"/>
      <c r="M129" s="30"/>
      <c r="O129" s="99"/>
      <c r="Q129" s="30"/>
    </row>
    <row r="130" spans="1:17" hidden="1" x14ac:dyDescent="0.25">
      <c r="E130" s="13"/>
      <c r="K130" s="13"/>
    </row>
    <row r="131" spans="1:17" hidden="1" x14ac:dyDescent="0.25">
      <c r="A131" s="92" t="s">
        <v>207</v>
      </c>
      <c r="B131" s="13">
        <f>B95</f>
        <v>0.58409999999999995</v>
      </c>
      <c r="C131" s="13">
        <f t="shared" ref="C131:D131" si="24">C95</f>
        <v>0.1671</v>
      </c>
      <c r="D131" s="13">
        <f t="shared" si="24"/>
        <v>0.24879999999999999</v>
      </c>
      <c r="E131" s="13">
        <f t="shared" ref="E131" si="25">E94</f>
        <v>1</v>
      </c>
      <c r="F131" s="13"/>
      <c r="G131" s="13"/>
      <c r="H131" s="13">
        <f>H95</f>
        <v>0.92320000000000002</v>
      </c>
      <c r="I131" s="13">
        <f t="shared" ref="I131:K131" si="26">I95</f>
        <v>2.07E-2</v>
      </c>
      <c r="J131" s="13">
        <f t="shared" si="26"/>
        <v>5.6099999999999997E-2</v>
      </c>
      <c r="K131" s="13">
        <f t="shared" si="26"/>
        <v>1</v>
      </c>
      <c r="M131" s="30">
        <f>C131/I131</f>
        <v>8.0724637681159415</v>
      </c>
      <c r="N131" s="228"/>
      <c r="O131" s="99">
        <f>C131/I131</f>
        <v>8.0724637681159415</v>
      </c>
    </row>
    <row r="132" spans="1:17" hidden="1" x14ac:dyDescent="0.25">
      <c r="A132" s="91" t="s">
        <v>208</v>
      </c>
      <c r="B132" s="13">
        <f>B82</f>
        <v>0.53566816964267061</v>
      </c>
      <c r="C132" s="13">
        <f t="shared" ref="C132:D132" si="27">C82</f>
        <v>0.14595303861631487</v>
      </c>
      <c r="D132" s="13">
        <f t="shared" si="27"/>
        <v>0.31837879174101452</v>
      </c>
      <c r="E132" s="13">
        <f t="shared" ref="E132" si="28">E81</f>
        <v>1</v>
      </c>
      <c r="F132" s="13"/>
      <c r="G132" s="13"/>
      <c r="H132" s="13">
        <f>H82</f>
        <v>0.91682180594541129</v>
      </c>
      <c r="I132" s="13">
        <f t="shared" ref="I132:K132" si="29">I82</f>
        <v>2.4701741828381755E-2</v>
      </c>
      <c r="J132" s="13">
        <f t="shared" si="29"/>
        <v>5.8476452226206975E-2</v>
      </c>
      <c r="K132" s="13">
        <f t="shared" si="29"/>
        <v>1</v>
      </c>
      <c r="M132" s="30">
        <f>C132/I132</f>
        <v>5.9086132318255409</v>
      </c>
      <c r="N132" s="228"/>
      <c r="O132" s="99">
        <f>C132/I132</f>
        <v>5.9086132318255409</v>
      </c>
    </row>
    <row r="133" spans="1:17" hidden="1" x14ac:dyDescent="0.25">
      <c r="A133" s="40" t="s">
        <v>209</v>
      </c>
      <c r="B133" s="13">
        <f>AVERAGE(B127,B128,B131,B132)</f>
        <v>0.51916704241066758</v>
      </c>
      <c r="C133" s="13">
        <f t="shared" ref="C133:D133" si="30">AVERAGE(C127,C128,C131,C132)</f>
        <v>0.19311325965407872</v>
      </c>
      <c r="D133" s="13">
        <f t="shared" si="30"/>
        <v>0.28771969793525365</v>
      </c>
      <c r="E133" s="13">
        <f t="shared" ref="E133:K133" si="31">AVERAGE(E127,E128,E131,E132)</f>
        <v>1</v>
      </c>
      <c r="F133" s="13"/>
      <c r="G133" s="13"/>
      <c r="H133" s="13">
        <f t="shared" si="31"/>
        <v>0.87088045148635285</v>
      </c>
      <c r="I133" s="13">
        <f t="shared" si="31"/>
        <v>3.5775435457095439E-2</v>
      </c>
      <c r="J133" s="13">
        <f t="shared" si="31"/>
        <v>9.3344113056551742E-2</v>
      </c>
      <c r="K133" s="13">
        <f t="shared" si="31"/>
        <v>1</v>
      </c>
    </row>
    <row r="134" spans="1:17" hidden="1" x14ac:dyDescent="0.25">
      <c r="A134" s="40" t="s">
        <v>210</v>
      </c>
      <c r="B134" s="13">
        <f>AVERAGE(B127,B128,B131)</f>
        <v>0.5136666666666666</v>
      </c>
      <c r="C134" s="13">
        <f t="shared" ref="C134:D134" si="32">AVERAGE(C127,C128,C131)</f>
        <v>0.20883333333333334</v>
      </c>
      <c r="D134" s="13">
        <f t="shared" si="32"/>
        <v>0.27750000000000002</v>
      </c>
      <c r="E134" s="13">
        <f t="shared" ref="E134:K134" si="33">AVERAGE(E127,E128,E131)</f>
        <v>1</v>
      </c>
      <c r="F134" s="13"/>
      <c r="G134" s="13"/>
      <c r="H134" s="13">
        <f t="shared" si="33"/>
        <v>0.8555666666666667</v>
      </c>
      <c r="I134" s="13">
        <f t="shared" si="33"/>
        <v>3.9466666666666664E-2</v>
      </c>
      <c r="J134" s="13">
        <f t="shared" si="33"/>
        <v>0.10496666666666667</v>
      </c>
      <c r="K134" s="13">
        <f t="shared" si="33"/>
        <v>1</v>
      </c>
    </row>
    <row r="135" spans="1:17" hidden="1" x14ac:dyDescent="0.25"/>
    <row r="137" spans="1:17" x14ac:dyDescent="0.25">
      <c r="B137" s="227"/>
    </row>
  </sheetData>
  <sheetProtection algorithmName="SHA-512" hashValue="UDyubve9S5ZPQkgxdpb8gVHSwt3O8FepueDZHugcQjSeGhUB5GZYAJIfO0luLBxDkp1WC+XoCW3JVK4sFgOSQQ==" saltValue="xycctzf9KoaFHNv9w42xCg=="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56"/>
  <sheetViews>
    <sheetView topLeftCell="A125" workbookViewId="0">
      <selection activeCell="E140" sqref="E140"/>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v>45748</v>
      </c>
      <c r="B139" s="25">
        <v>4.0289999999999999E-2</v>
      </c>
    </row>
    <row r="140" spans="1:2" x14ac:dyDescent="0.25">
      <c r="A140" s="14"/>
      <c r="B140" s="25"/>
    </row>
    <row r="141" spans="1:2" x14ac:dyDescent="0.25">
      <c r="A141" s="261"/>
      <c r="B141" s="25"/>
    </row>
    <row r="142" spans="1:2" ht="45" x14ac:dyDescent="0.25">
      <c r="A142" s="27">
        <f>Pooling_Month</f>
        <v>45809</v>
      </c>
      <c r="B142" s="20" t="s">
        <v>65</v>
      </c>
    </row>
    <row r="143" spans="1:2" x14ac:dyDescent="0.25">
      <c r="A143" s="31" t="s">
        <v>60</v>
      </c>
      <c r="B143" s="32">
        <v>3.9537000000000003E-2</v>
      </c>
    </row>
    <row r="144" spans="1:2" hidden="1" x14ac:dyDescent="0.25"/>
    <row r="145" spans="1:5" ht="14.25" hidden="1" customHeight="1" x14ac:dyDescent="0.25">
      <c r="E145" t="s">
        <v>192</v>
      </c>
    </row>
    <row r="146" spans="1:5" hidden="1" x14ac:dyDescent="0.25">
      <c r="A146" s="40" t="s">
        <v>215</v>
      </c>
      <c r="B146" s="25">
        <f>B129-B127</f>
        <v>-6.7500000000000199E-4</v>
      </c>
    </row>
    <row r="147" spans="1:5" hidden="1" x14ac:dyDescent="0.25">
      <c r="A147" s="93" t="s">
        <v>216</v>
      </c>
      <c r="B147" s="25">
        <f>B139</f>
        <v>4.0289999999999999E-2</v>
      </c>
    </row>
    <row r="148" spans="1:5" hidden="1" x14ac:dyDescent="0.25">
      <c r="A148" s="269" t="s">
        <v>211</v>
      </c>
      <c r="B148" s="25">
        <f>SUM(B146:B147)</f>
        <v>3.9614999999999997E-2</v>
      </c>
    </row>
    <row r="149" spans="1:5" hidden="1" x14ac:dyDescent="0.25">
      <c r="A149" s="92" t="s">
        <v>206</v>
      </c>
      <c r="B149" s="25">
        <f>B130</f>
        <v>3.8640000000000001E-2</v>
      </c>
    </row>
    <row r="150" spans="1:5" hidden="1" x14ac:dyDescent="0.25">
      <c r="A150" t="s">
        <v>83</v>
      </c>
      <c r="B150" s="25">
        <f>AVERAGE(B148:B149)</f>
        <v>3.9127499999999996E-2</v>
      </c>
    </row>
    <row r="151" spans="1:5" hidden="1" x14ac:dyDescent="0.25">
      <c r="B151" s="25"/>
    </row>
    <row r="152" spans="1:5" hidden="1" x14ac:dyDescent="0.25">
      <c r="A152" s="92" t="s">
        <v>207</v>
      </c>
      <c r="B152" s="25">
        <f>B118</f>
        <v>3.7977999999999998E-2</v>
      </c>
    </row>
    <row r="153" spans="1:5" hidden="1" x14ac:dyDescent="0.25">
      <c r="A153" s="91" t="s">
        <v>208</v>
      </c>
      <c r="B153" s="25">
        <f>B106</f>
        <v>3.7290999999999998E-2</v>
      </c>
    </row>
    <row r="154" spans="1:5" hidden="1" x14ac:dyDescent="0.25">
      <c r="A154" s="40" t="s">
        <v>209</v>
      </c>
      <c r="B154" s="25">
        <f>(B148+B149+B152+B153)/4</f>
        <v>3.8380999999999998E-2</v>
      </c>
    </row>
    <row r="155" spans="1:5" hidden="1" x14ac:dyDescent="0.25">
      <c r="A155" s="40" t="s">
        <v>212</v>
      </c>
      <c r="B155" s="25">
        <f>(B148+B149+B152)/3</f>
        <v>3.8744333333333332E-2</v>
      </c>
    </row>
    <row r="156" spans="1:5" x14ac:dyDescent="0.25">
      <c r="A156" s="40"/>
    </row>
  </sheetData>
  <sheetProtection algorithmName="SHA-512" hashValue="kKr51JAUSqts/DnV9WA19c748xUUqYil4aHeb/kLQbrd+p2L7ck7310py/N3tCYKTD9ARLc0VzCy6Z9zrB6f5w==" saltValue="kStUjxaBnFpv2AwyG47Vb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56"/>
  <sheetViews>
    <sheetView topLeftCell="A125" workbookViewId="0">
      <selection activeCell="E158" sqref="E158"/>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v>45748</v>
      </c>
      <c r="B139" s="21">
        <v>512681</v>
      </c>
    </row>
    <row r="140" spans="1:2" x14ac:dyDescent="0.25">
      <c r="A140" s="14"/>
      <c r="B140" s="21"/>
    </row>
    <row r="141" spans="1:2" x14ac:dyDescent="0.25">
      <c r="A141" s="14"/>
      <c r="B141" s="21"/>
    </row>
    <row r="142" spans="1:2" ht="45" x14ac:dyDescent="0.25">
      <c r="A142" s="27">
        <f>Pooling_Month</f>
        <v>45809</v>
      </c>
      <c r="B142" s="20" t="s">
        <v>67</v>
      </c>
    </row>
    <row r="143" spans="1:2" x14ac:dyDescent="0.25">
      <c r="A143" s="31" t="s">
        <v>60</v>
      </c>
      <c r="B143" s="33">
        <f>B149</f>
        <v>504056</v>
      </c>
    </row>
    <row r="144" spans="1:2" x14ac:dyDescent="0.25">
      <c r="B144" s="267"/>
    </row>
    <row r="145" spans="1:6" ht="17.25" hidden="1" customHeight="1" x14ac:dyDescent="0.25"/>
    <row r="146" spans="1:6" hidden="1" x14ac:dyDescent="0.25"/>
    <row r="147" spans="1:6" ht="30" hidden="1" x14ac:dyDescent="0.25">
      <c r="A147" s="40" t="s">
        <v>215</v>
      </c>
      <c r="B147" s="217">
        <f>B129-B127</f>
        <v>-8625</v>
      </c>
      <c r="D147" t="s">
        <v>190</v>
      </c>
    </row>
    <row r="148" spans="1:6" hidden="1" x14ac:dyDescent="0.25">
      <c r="A148" s="93" t="s">
        <v>216</v>
      </c>
      <c r="B148" s="94">
        <f>B139</f>
        <v>512681</v>
      </c>
    </row>
    <row r="149" spans="1:6" hidden="1" x14ac:dyDescent="0.25">
      <c r="A149" s="269" t="s">
        <v>211</v>
      </c>
      <c r="B149" s="94">
        <f>SUM(B147:B148)</f>
        <v>504056</v>
      </c>
      <c r="C149" s="101"/>
      <c r="D149" s="101"/>
    </row>
    <row r="150" spans="1:6" hidden="1" x14ac:dyDescent="0.25">
      <c r="A150" s="92" t="s">
        <v>206</v>
      </c>
      <c r="B150" s="94">
        <f>B129</f>
        <v>529125</v>
      </c>
      <c r="C150" s="101"/>
      <c r="D150" s="101"/>
    </row>
    <row r="151" spans="1:6" hidden="1" x14ac:dyDescent="0.25">
      <c r="A151" t="s">
        <v>83</v>
      </c>
      <c r="B151" s="94">
        <f>AVERAGE(B149:B150)</f>
        <v>516590.5</v>
      </c>
      <c r="D151" s="101"/>
    </row>
    <row r="152" spans="1:6" x14ac:dyDescent="0.25">
      <c r="D152" s="101"/>
    </row>
    <row r="153" spans="1:6" x14ac:dyDescent="0.25">
      <c r="A153" s="92"/>
      <c r="D153" s="101"/>
      <c r="E153" s="94"/>
      <c r="F153" s="94"/>
    </row>
    <row r="154" spans="1:6" x14ac:dyDescent="0.25">
      <c r="A154" s="91"/>
    </row>
    <row r="155" spans="1:6" x14ac:dyDescent="0.25">
      <c r="A155" s="40"/>
    </row>
    <row r="156" spans="1:6" x14ac:dyDescent="0.25">
      <c r="A156" s="40"/>
    </row>
  </sheetData>
  <sheetProtection algorithmName="SHA-512" hashValue="+/bO8MGQkGN8iyma1E0z1/QCsziWUJlMg5cCifwprmRLdmYl3HITX5dgk9b8cpzk/Ymu4bBnr58HxLMjEcyAdw==" saltValue="7J7g2HZ1LDbyhXUqGm7Q2Q=="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4"/>
  <sheetViews>
    <sheetView topLeftCell="A121" workbookViewId="0">
      <selection activeCell="C160" sqref="C160"/>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v>45748</v>
      </c>
      <c r="B139" s="25">
        <v>7.6429999999999996E-3</v>
      </c>
    </row>
    <row r="140" spans="1:2" x14ac:dyDescent="0.25">
      <c r="A140" s="14"/>
      <c r="B140" s="25"/>
    </row>
    <row r="141" spans="1:2" x14ac:dyDescent="0.25">
      <c r="A141" s="14"/>
    </row>
    <row r="142" spans="1:2" ht="60" x14ac:dyDescent="0.25">
      <c r="A142" s="27">
        <f>Pooling_Month</f>
        <v>45809</v>
      </c>
      <c r="B142" s="29" t="s">
        <v>69</v>
      </c>
    </row>
    <row r="143" spans="1:2" x14ac:dyDescent="0.25">
      <c r="A143" s="31" t="s">
        <v>60</v>
      </c>
      <c r="B143" s="32">
        <v>7.5069999999999998E-3</v>
      </c>
    </row>
    <row r="144" spans="1:2" ht="15.75" customHeight="1" x14ac:dyDescent="0.25"/>
    <row r="145" spans="1:5" hidden="1" x14ac:dyDescent="0.25">
      <c r="E145" t="s">
        <v>193</v>
      </c>
    </row>
    <row r="146" spans="1:5" ht="30" hidden="1" x14ac:dyDescent="0.25">
      <c r="A146" s="40" t="s">
        <v>215</v>
      </c>
      <c r="B146" s="95">
        <f>B129-B127</f>
        <v>-1.3599999999999984E-4</v>
      </c>
    </row>
    <row r="147" spans="1:5" hidden="1" x14ac:dyDescent="0.25">
      <c r="A147" s="93" t="s">
        <v>216</v>
      </c>
      <c r="B147" s="95">
        <f>B139</f>
        <v>7.6429999999999996E-3</v>
      </c>
    </row>
    <row r="148" spans="1:5" hidden="1" x14ac:dyDescent="0.25">
      <c r="A148" s="269" t="s">
        <v>211</v>
      </c>
      <c r="B148" s="95">
        <f>SUM(B146:B147)</f>
        <v>7.5069999999999998E-3</v>
      </c>
    </row>
    <row r="149" spans="1:5" hidden="1" x14ac:dyDescent="0.25">
      <c r="A149" s="92" t="s">
        <v>206</v>
      </c>
      <c r="B149" s="95">
        <f>B129</f>
        <v>7.0410000000000004E-3</v>
      </c>
    </row>
    <row r="150" spans="1:5" hidden="1" x14ac:dyDescent="0.25">
      <c r="A150" s="92" t="s">
        <v>207</v>
      </c>
      <c r="B150" s="95">
        <f>B117</f>
        <v>3.9379999999999997E-3</v>
      </c>
    </row>
    <row r="151" spans="1:5" hidden="1" x14ac:dyDescent="0.25">
      <c r="A151" s="91" t="s">
        <v>208</v>
      </c>
      <c r="B151" s="95">
        <f>B105</f>
        <v>2.415E-3</v>
      </c>
    </row>
    <row r="152" spans="1:5" ht="30" hidden="1" x14ac:dyDescent="0.25">
      <c r="A152" s="40" t="s">
        <v>209</v>
      </c>
      <c r="B152" s="95">
        <f>AVERAGE(B148:B151)</f>
        <v>5.2252499999999999E-3</v>
      </c>
    </row>
    <row r="153" spans="1:5" hidden="1" x14ac:dyDescent="0.25">
      <c r="A153" s="40" t="s">
        <v>212</v>
      </c>
      <c r="B153" s="25">
        <f>AVERAGE(B148:B150)</f>
        <v>6.1619999999999999E-3</v>
      </c>
    </row>
    <row r="156" spans="1:5" x14ac:dyDescent="0.25">
      <c r="A156" s="40"/>
    </row>
    <row r="157" spans="1:5" x14ac:dyDescent="0.25">
      <c r="A157" s="93"/>
    </row>
    <row r="158" spans="1:5" x14ac:dyDescent="0.25">
      <c r="A158" s="91"/>
    </row>
    <row r="159" spans="1:5" x14ac:dyDescent="0.25">
      <c r="A159" s="92"/>
    </row>
    <row r="161" spans="1:1" x14ac:dyDescent="0.25">
      <c r="A161" s="92"/>
    </row>
    <row r="162" spans="1:1" x14ac:dyDescent="0.25">
      <c r="A162" s="92"/>
    </row>
    <row r="163" spans="1:1" x14ac:dyDescent="0.25">
      <c r="A163" s="91"/>
    </row>
    <row r="164" spans="1:1" x14ac:dyDescent="0.25">
      <c r="A164" s="40"/>
    </row>
  </sheetData>
  <sheetProtection algorithmName="SHA-512" hashValue="AzHxIaxs3TKyKf9bMvx+zPCwyB0RQN2BJ8n/6z722tNZ6nF1UMC8KaJxdk+TYFC31Yg5W+iaXdhG0QVcpNX4NQ==" saltValue="IEOVVenqRU72xnO14yNwM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9"/>
  <sheetViews>
    <sheetView topLeftCell="A132" workbookViewId="0">
      <selection activeCell="E162" sqref="E162"/>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202</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5">
        <f t="shared" si="4"/>
        <v>1.7983983161785466</v>
      </c>
      <c r="J113" s="223"/>
    </row>
    <row r="114" spans="1:10" x14ac:dyDescent="0.25">
      <c r="A114" s="14">
        <v>44896</v>
      </c>
      <c r="B114" s="25">
        <v>0.13656199999999999</v>
      </c>
      <c r="C114" s="25">
        <v>0.24711</v>
      </c>
      <c r="F114" s="255">
        <f t="shared" si="4"/>
        <v>1.8095077693648307</v>
      </c>
    </row>
    <row r="115" spans="1:10" x14ac:dyDescent="0.25">
      <c r="A115" s="14">
        <v>44927</v>
      </c>
      <c r="B115" s="25">
        <v>0.22236600000000001</v>
      </c>
      <c r="C115" s="25">
        <v>0.392758</v>
      </c>
      <c r="F115" s="255">
        <f t="shared" si="4"/>
        <v>1.7662682244587751</v>
      </c>
    </row>
    <row r="116" spans="1:10" x14ac:dyDescent="0.25">
      <c r="A116" s="14">
        <v>44958</v>
      </c>
      <c r="B116" s="25">
        <v>0.190855</v>
      </c>
      <c r="C116" s="25">
        <v>0.319992</v>
      </c>
      <c r="F116" s="255">
        <f t="shared" si="4"/>
        <v>1.6766236147860942</v>
      </c>
    </row>
    <row r="117" spans="1:10" x14ac:dyDescent="0.25">
      <c r="A117" s="14">
        <v>44986</v>
      </c>
      <c r="B117" s="25">
        <v>0.19927400000000001</v>
      </c>
      <c r="C117" s="25">
        <v>0.35046500000000003</v>
      </c>
      <c r="F117" s="255">
        <f t="shared" si="4"/>
        <v>1.7587091140841256</v>
      </c>
    </row>
    <row r="118" spans="1:10" x14ac:dyDescent="0.25">
      <c r="A118" s="14">
        <v>45017</v>
      </c>
      <c r="B118" s="25">
        <v>0.23678299999999999</v>
      </c>
      <c r="C118" s="25">
        <v>0.41017100000000001</v>
      </c>
      <c r="F118" s="255">
        <f t="shared" si="4"/>
        <v>1.7322654075672663</v>
      </c>
    </row>
    <row r="119" spans="1:10" x14ac:dyDescent="0.25">
      <c r="A119" s="14">
        <v>45047</v>
      </c>
      <c r="B119" s="25">
        <v>0.21531</v>
      </c>
      <c r="C119" s="25">
        <v>0.361763</v>
      </c>
      <c r="F119" s="255">
        <f t="shared" si="4"/>
        <v>1.6801959964702058</v>
      </c>
    </row>
    <row r="120" spans="1:10" x14ac:dyDescent="0.25">
      <c r="A120" s="14">
        <v>45078</v>
      </c>
      <c r="B120" s="25">
        <v>0.29416700000000001</v>
      </c>
      <c r="C120" s="25">
        <v>0.48411900000000002</v>
      </c>
      <c r="F120" s="255">
        <f t="shared" ref="F120" si="6">C120/B120</f>
        <v>1.6457284467666327</v>
      </c>
    </row>
    <row r="121" spans="1:10" x14ac:dyDescent="0.25">
      <c r="A121" s="14">
        <v>45108</v>
      </c>
      <c r="B121" s="25">
        <v>0.22546099999999999</v>
      </c>
      <c r="C121" s="25">
        <v>0.38143899999999997</v>
      </c>
      <c r="F121" s="255">
        <f t="shared" ref="F121:F142" si="7">C121/B121</f>
        <v>1.6918180971431866</v>
      </c>
    </row>
    <row r="122" spans="1:10" x14ac:dyDescent="0.25">
      <c r="A122" s="14">
        <v>45139</v>
      </c>
      <c r="B122" s="25">
        <v>0.31855699999999998</v>
      </c>
      <c r="C122" s="25">
        <v>0.56603999999999999</v>
      </c>
      <c r="F122" s="255">
        <f t="shared" si="7"/>
        <v>1.7768876527591608</v>
      </c>
    </row>
    <row r="123" spans="1:10" x14ac:dyDescent="0.25">
      <c r="A123" s="14">
        <v>45170</v>
      </c>
      <c r="B123" s="25">
        <v>0.28491499999999997</v>
      </c>
      <c r="C123" s="25">
        <v>0.47492000000000001</v>
      </c>
      <c r="F123" s="255">
        <f t="shared" si="7"/>
        <v>1.6668831054876017</v>
      </c>
    </row>
    <row r="124" spans="1:10" x14ac:dyDescent="0.25">
      <c r="A124" s="14">
        <v>45200</v>
      </c>
      <c r="B124" s="25">
        <v>0.189442</v>
      </c>
      <c r="C124" s="25">
        <v>0.330953</v>
      </c>
      <c r="F124" s="255">
        <f t="shared" si="7"/>
        <v>1.746988524192101</v>
      </c>
    </row>
    <row r="125" spans="1:10" x14ac:dyDescent="0.25">
      <c r="A125" s="14">
        <v>45231</v>
      </c>
      <c r="B125" s="25">
        <v>0.200434</v>
      </c>
      <c r="C125" s="25">
        <v>0.35803600000000002</v>
      </c>
      <c r="F125" s="255">
        <f t="shared" si="7"/>
        <v>1.7863037209255916</v>
      </c>
    </row>
    <row r="126" spans="1:10" x14ac:dyDescent="0.25">
      <c r="A126" s="14">
        <v>45261</v>
      </c>
      <c r="B126" s="25">
        <v>0.179337</v>
      </c>
      <c r="C126" s="25">
        <v>0.31408700000000001</v>
      </c>
      <c r="F126" s="255">
        <f t="shared" si="7"/>
        <v>1.7513786892833048</v>
      </c>
    </row>
    <row r="127" spans="1:10" x14ac:dyDescent="0.25">
      <c r="A127" s="14">
        <v>45292</v>
      </c>
      <c r="B127" s="25">
        <v>0.19153300000000001</v>
      </c>
      <c r="C127" s="25">
        <v>0.33412700000000001</v>
      </c>
      <c r="F127" s="255">
        <f t="shared" si="7"/>
        <v>1.7444878950363645</v>
      </c>
    </row>
    <row r="128" spans="1:10" x14ac:dyDescent="0.25">
      <c r="A128" s="14">
        <v>45323</v>
      </c>
      <c r="B128" s="25">
        <v>0.194215</v>
      </c>
      <c r="C128" s="25">
        <v>0.33216299999999999</v>
      </c>
      <c r="F128" s="255">
        <f t="shared" si="7"/>
        <v>1.7102849934351105</v>
      </c>
    </row>
    <row r="129" spans="1:6" x14ac:dyDescent="0.25">
      <c r="A129" s="14">
        <v>45352</v>
      </c>
      <c r="B129" s="25">
        <v>0.20252700000000001</v>
      </c>
      <c r="C129" s="25">
        <v>0.34077000000000002</v>
      </c>
      <c r="F129" s="255">
        <f t="shared" si="7"/>
        <v>1.6825904694188922</v>
      </c>
    </row>
    <row r="130" spans="1:6" x14ac:dyDescent="0.25">
      <c r="A130" s="14">
        <v>45383</v>
      </c>
      <c r="B130" s="25">
        <v>0.16612399999999999</v>
      </c>
      <c r="C130" s="25">
        <v>0.28236</v>
      </c>
      <c r="F130" s="255">
        <f t="shared" si="7"/>
        <v>1.6996942043292962</v>
      </c>
    </row>
    <row r="131" spans="1:6" x14ac:dyDescent="0.25">
      <c r="A131" s="14">
        <v>45413</v>
      </c>
      <c r="B131" s="25">
        <v>0.169932</v>
      </c>
      <c r="C131" s="25">
        <v>0.28758</v>
      </c>
      <c r="F131" s="255">
        <f t="shared" si="7"/>
        <v>1.692323988418897</v>
      </c>
    </row>
    <row r="132" spans="1:6" x14ac:dyDescent="0.25">
      <c r="A132" s="14">
        <v>45444</v>
      </c>
      <c r="B132" s="25">
        <v>0.18463499999999999</v>
      </c>
      <c r="C132" s="25">
        <v>0.30538700000000002</v>
      </c>
      <c r="F132" s="255">
        <f t="shared" si="7"/>
        <v>1.6540038454247572</v>
      </c>
    </row>
    <row r="133" spans="1:6" x14ac:dyDescent="0.25">
      <c r="A133" s="14">
        <v>45474</v>
      </c>
      <c r="B133" s="25">
        <v>0.180337</v>
      </c>
      <c r="C133" s="25">
        <v>0.29386800000000002</v>
      </c>
      <c r="F133" s="255">
        <f t="shared" si="7"/>
        <v>1.6295491219217355</v>
      </c>
    </row>
    <row r="134" spans="1:6" x14ac:dyDescent="0.25">
      <c r="A134" s="14">
        <v>45505</v>
      </c>
      <c r="B134" s="25">
        <v>0.17039399999999999</v>
      </c>
      <c r="C134" s="25">
        <v>0.27133800000000002</v>
      </c>
      <c r="F134" s="255">
        <f t="shared" si="7"/>
        <v>1.5924152258882358</v>
      </c>
    </row>
    <row r="135" spans="1:6" x14ac:dyDescent="0.25">
      <c r="A135" s="14">
        <v>45536</v>
      </c>
      <c r="B135" s="25">
        <v>0.15028</v>
      </c>
      <c r="C135" s="25">
        <v>0.24710799999999999</v>
      </c>
      <c r="F135" s="255">
        <f t="shared" si="7"/>
        <v>1.6443172744210806</v>
      </c>
    </row>
    <row r="136" spans="1:6" x14ac:dyDescent="0.25">
      <c r="A136" s="14">
        <v>45566</v>
      </c>
      <c r="B136" s="25">
        <v>0.15873399999999999</v>
      </c>
      <c r="C136" s="25">
        <v>0.26858500000000002</v>
      </c>
      <c r="F136" s="255">
        <f t="shared" si="7"/>
        <v>1.6920445525218293</v>
      </c>
    </row>
    <row r="137" spans="1:6" x14ac:dyDescent="0.25">
      <c r="A137" s="14">
        <v>45597</v>
      </c>
      <c r="B137" s="25">
        <v>0.13459399999999999</v>
      </c>
      <c r="C137" s="25">
        <v>0.22809399999999999</v>
      </c>
      <c r="F137" s="255">
        <f t="shared" si="7"/>
        <v>1.6946817837347876</v>
      </c>
    </row>
    <row r="138" spans="1:6" x14ac:dyDescent="0.25">
      <c r="A138" s="14">
        <v>45627</v>
      </c>
      <c r="B138" s="25">
        <v>0.156751</v>
      </c>
      <c r="C138" s="25">
        <v>0.264677</v>
      </c>
      <c r="F138" s="255">
        <f t="shared" si="7"/>
        <v>1.6885187335328005</v>
      </c>
    </row>
    <row r="139" spans="1:6" x14ac:dyDescent="0.25">
      <c r="A139" s="14">
        <v>45658</v>
      </c>
      <c r="B139" s="25">
        <v>0.16590299999999999</v>
      </c>
      <c r="C139" s="25">
        <v>0.27596700000000002</v>
      </c>
      <c r="F139" s="255">
        <f t="shared" si="7"/>
        <v>1.6634238078877417</v>
      </c>
    </row>
    <row r="140" spans="1:6" x14ac:dyDescent="0.25">
      <c r="A140" s="14">
        <v>45689</v>
      </c>
      <c r="B140" s="25">
        <v>0.13581499999999999</v>
      </c>
      <c r="C140" s="25">
        <v>0.22577900000000001</v>
      </c>
      <c r="F140" s="255">
        <f t="shared" si="7"/>
        <v>1.6624010602658028</v>
      </c>
    </row>
    <row r="141" spans="1:6" x14ac:dyDescent="0.25">
      <c r="A141" s="14">
        <v>45717</v>
      </c>
      <c r="B141" s="25">
        <v>0.13731599999999999</v>
      </c>
      <c r="C141" s="25">
        <v>0.22591700000000001</v>
      </c>
      <c r="F141" s="255">
        <f t="shared" si="7"/>
        <v>1.6452343499665008</v>
      </c>
    </row>
    <row r="142" spans="1:6" x14ac:dyDescent="0.25">
      <c r="A142" s="14">
        <v>45748</v>
      </c>
      <c r="B142" s="25">
        <v>0.164406</v>
      </c>
      <c r="C142" s="25">
        <v>0.26031599999999999</v>
      </c>
      <c r="F142" s="255">
        <f t="shared" si="7"/>
        <v>1.5833728696032991</v>
      </c>
    </row>
    <row r="143" spans="1:6" x14ac:dyDescent="0.25">
      <c r="A143" s="14"/>
      <c r="B143" s="25"/>
      <c r="C143" s="25"/>
      <c r="F143" s="255"/>
    </row>
    <row r="144" spans="1:6" x14ac:dyDescent="0.25">
      <c r="A144" s="14"/>
      <c r="B144" s="25"/>
      <c r="C144" s="25"/>
      <c r="F144" s="255"/>
    </row>
    <row r="145" spans="1:11" x14ac:dyDescent="0.25">
      <c r="A145" s="256"/>
    </row>
    <row r="146" spans="1:11" ht="90" x14ac:dyDescent="0.25">
      <c r="A146" s="27">
        <f>Pooling_Month</f>
        <v>45809</v>
      </c>
      <c r="B146" s="20" t="s">
        <v>133</v>
      </c>
      <c r="C146" s="20" t="s">
        <v>134</v>
      </c>
    </row>
    <row r="147" spans="1:11" x14ac:dyDescent="0.25">
      <c r="A147" s="31" t="s">
        <v>60</v>
      </c>
      <c r="B147" s="32">
        <f>B152</f>
        <v>0.182917</v>
      </c>
      <c r="C147" s="32">
        <f>C152</f>
        <v>0.17272699999999999</v>
      </c>
      <c r="E147" s="30"/>
      <c r="F147" s="96">
        <f t="shared" ref="F147" si="8">C147/B147</f>
        <v>0.94429167327257713</v>
      </c>
    </row>
    <row r="148" spans="1:11" ht="18" hidden="1" customHeight="1" x14ac:dyDescent="0.25"/>
    <row r="149" spans="1:11" hidden="1" x14ac:dyDescent="0.25">
      <c r="E149" t="s">
        <v>194</v>
      </c>
    </row>
    <row r="150" spans="1:11" hidden="1" x14ac:dyDescent="0.25">
      <c r="A150" s="40" t="s">
        <v>215</v>
      </c>
      <c r="B150" s="95">
        <f>B132-B130</f>
        <v>1.8511E-2</v>
      </c>
      <c r="C150" s="95">
        <f>C131-C129</f>
        <v>-5.3190000000000015E-2</v>
      </c>
      <c r="F150" t="s">
        <v>189</v>
      </c>
    </row>
    <row r="151" spans="1:11" ht="15.75" hidden="1" thickBot="1" x14ac:dyDescent="0.3">
      <c r="A151" s="93" t="s">
        <v>216</v>
      </c>
      <c r="B151" s="95">
        <f>B142</f>
        <v>0.164406</v>
      </c>
      <c r="C151" s="95">
        <f>C141</f>
        <v>0.22591700000000001</v>
      </c>
      <c r="F151" s="255">
        <f t="shared" ref="F151" si="9">C151/B151</f>
        <v>1.3741408464411276</v>
      </c>
    </row>
    <row r="152" spans="1:11" ht="15.75" hidden="1" thickBot="1" x14ac:dyDescent="0.3">
      <c r="A152" s="269" t="s">
        <v>211</v>
      </c>
      <c r="B152" s="95">
        <f>SUM(B150:B151)</f>
        <v>0.182917</v>
      </c>
      <c r="C152" s="95">
        <f>SUM(C150:C151)</f>
        <v>0.17272699999999999</v>
      </c>
      <c r="E152" s="262" t="s">
        <v>200</v>
      </c>
      <c r="F152" s="263">
        <f t="shared" ref="F152:F153" si="10">C152/B152</f>
        <v>0.94429167327257713</v>
      </c>
      <c r="G152" s="264"/>
      <c r="H152" s="264"/>
      <c r="I152" s="264"/>
      <c r="J152" s="265"/>
      <c r="K152" s="266"/>
    </row>
    <row r="153" spans="1:11" hidden="1" x14ac:dyDescent="0.25">
      <c r="A153" s="92" t="s">
        <v>206</v>
      </c>
      <c r="B153" s="95">
        <f>B132</f>
        <v>0.18463499999999999</v>
      </c>
      <c r="C153" s="95">
        <f>C131</f>
        <v>0.28758</v>
      </c>
      <c r="F153" s="96">
        <f t="shared" si="10"/>
        <v>1.5575595093021368</v>
      </c>
    </row>
    <row r="154" spans="1:11" hidden="1" x14ac:dyDescent="0.25">
      <c r="A154" t="s">
        <v>83</v>
      </c>
      <c r="B154" s="95">
        <f>AVERAGE(B152:B153)</f>
        <v>0.18377599999999999</v>
      </c>
      <c r="C154" s="95">
        <f>AVERAGE(C152:C153)</f>
        <v>0.23015350000000001</v>
      </c>
      <c r="F154" s="96">
        <f>C154/B154</f>
        <v>1.2523588499042313</v>
      </c>
    </row>
    <row r="155" spans="1:11" hidden="1" x14ac:dyDescent="0.25">
      <c r="B155" s="95"/>
      <c r="C155" s="95"/>
      <c r="F155" s="96" t="e">
        <f t="shared" ref="F155" si="11">C155/B155</f>
        <v>#DIV/0!</v>
      </c>
    </row>
    <row r="156" spans="1:11" hidden="1" x14ac:dyDescent="0.25">
      <c r="A156" s="92" t="s">
        <v>207</v>
      </c>
      <c r="B156" s="95">
        <f>B120</f>
        <v>0.29416700000000001</v>
      </c>
      <c r="C156" s="95">
        <f>C119</f>
        <v>0.361763</v>
      </c>
      <c r="F156" s="97" t="e">
        <f>AVERAGE(F152:F155)</f>
        <v>#DIV/0!</v>
      </c>
    </row>
    <row r="157" spans="1:11" hidden="1" x14ac:dyDescent="0.25">
      <c r="A157" s="91" t="s">
        <v>208</v>
      </c>
      <c r="B157" s="25">
        <f>B108</f>
        <v>0.189916</v>
      </c>
      <c r="C157" s="25">
        <f>C107</f>
        <v>0.30047299999999999</v>
      </c>
    </row>
    <row r="158" spans="1:11" hidden="1" x14ac:dyDescent="0.25">
      <c r="A158" s="40" t="s">
        <v>209</v>
      </c>
      <c r="B158" s="25">
        <f>AVERAGE(B152,B153,B156,B157)</f>
        <v>0.21290874999999998</v>
      </c>
      <c r="C158" s="25">
        <f>AVERAGE(C152,C153,C156,C157)</f>
        <v>0.28063575000000002</v>
      </c>
      <c r="F158" s="96">
        <f>C158/B158</f>
        <v>1.3181034128470532</v>
      </c>
    </row>
    <row r="159" spans="1:11" hidden="1" x14ac:dyDescent="0.25">
      <c r="A159" s="40" t="s">
        <v>212</v>
      </c>
      <c r="B159" s="25">
        <f>AVERAGE(B152,B153,B156)</f>
        <v>0.22057299999999999</v>
      </c>
      <c r="C159" s="25">
        <f>AVERAGE(C152,C153,C156)</f>
        <v>0.27402333333333334</v>
      </c>
      <c r="F159" s="96">
        <f>C159/B159</f>
        <v>1.2423249143518624</v>
      </c>
    </row>
  </sheetData>
  <sheetProtection algorithmName="SHA-512" hashValue="R4HKtEPklOAidCFG0PCv6XJURN5mu566gf220waYdeDK99dPeP67y4pxZcT3JJYCeyS2Py7Suc2nHdh8DiP8AA==" saltValue="jH4TbjkyD7K5zwai20fcK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2025-05-22T15:06:07Z</dcterms:modified>
</cp:coreProperties>
</file>