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S:\MILKCTRL\1. MCB Programs\PRICE ANNOUNCEMENT\MT Quota Price and Dairy Revenue Estimator\2025\"/>
    </mc:Choice>
  </mc:AlternateContent>
  <xr:revisionPtr revIDLastSave="0" documentId="13_ncr:1_{72AAF031-7FE5-4DC7-AEA1-676391D61359}" xr6:coauthVersionLast="47" xr6:coauthVersionMax="47" xr10:uidLastSave="{00000000-0000-0000-0000-000000000000}"/>
  <bookViews>
    <workbookView xWindow="63690" yWindow="5460" windowWidth="21600" windowHeight="11325" tabRatio="811" firstSheet="1" activeTab="1" xr2:uid="{00000000-000D-0000-FFFF-FFFF00000000}"/>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Rec'!$B$139</definedName>
    <definedName name="EstClsIBFUtPerc">'Monthly Utilization by Class'!$B$119</definedName>
    <definedName name="EstClsIIBFUtPerc">'Monthly Utilization by Class'!$C$119</definedName>
    <definedName name="EstClsIIIBFUtPerc">'Monthly Utilization by Class'!$D$119</definedName>
    <definedName name="EstClsIIISkimUtPerc">'Monthly Utilization by Class'!$J$119</definedName>
    <definedName name="EstClsIISkimUTPerc">'Monthly Utilization by Class'!$I$119</definedName>
    <definedName name="EstClsIPckgSurpPoolBFUtPerc">'Percent Cls I Package Surplus'!$B$143</definedName>
    <definedName name="EstClsIPckgSurpPoolSkimUtPerc">'Percent Cls I Package Surplus'!$C$143</definedName>
    <definedName name="EstClsISkimUtPerc">'Monthly Utilization by Class'!$H$119</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Contiguous'!$B$116</definedName>
    <definedName name="PoolButterfatPercent">'Monthly Pool Butterfat Percent'!$B$140</definedName>
    <definedName name="PoolDailyProd">'Monthly Avg Daily Production'!$B$140</definedName>
    <definedName name="Pooling_Month">'Quota Price Estimator'!$B$4</definedName>
    <definedName name="PoolOverQuotaProdPerc">'Monthly Excess Milk Percentage'!$B$139</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8" i="6" l="1"/>
  <c r="C125" i="2" l="1"/>
  <c r="D125" i="2"/>
  <c r="H125" i="2"/>
  <c r="I125" i="2"/>
  <c r="J125" i="2"/>
  <c r="C123" i="2"/>
  <c r="D123" i="2"/>
  <c r="H123" i="2"/>
  <c r="I123" i="2"/>
  <c r="J123" i="2"/>
  <c r="D122" i="2"/>
  <c r="D124" i="2" s="1"/>
  <c r="H122" i="2"/>
  <c r="H124" i="2" s="1"/>
  <c r="H126" i="2" s="1"/>
  <c r="I122" i="2"/>
  <c r="I124" i="2" s="1"/>
  <c r="J122" i="2"/>
  <c r="J124" i="2" s="1"/>
  <c r="K113" i="2"/>
  <c r="B113" i="2"/>
  <c r="B123" i="2" s="1"/>
  <c r="B149" i="7"/>
  <c r="B148" i="7"/>
  <c r="B145" i="7"/>
  <c r="B143" i="7"/>
  <c r="B142" i="7"/>
  <c r="B125" i="8"/>
  <c r="B122" i="8"/>
  <c r="B120" i="8"/>
  <c r="B119" i="8"/>
  <c r="C153" i="6"/>
  <c r="B153" i="6"/>
  <c r="C152" i="6"/>
  <c r="B152" i="6"/>
  <c r="C149" i="6"/>
  <c r="B146" i="6"/>
  <c r="B147" i="5"/>
  <c r="B146" i="5"/>
  <c r="B145" i="5"/>
  <c r="B143" i="5"/>
  <c r="B142" i="5"/>
  <c r="B147" i="4"/>
  <c r="B145" i="4"/>
  <c r="B144" i="4"/>
  <c r="B150" i="3"/>
  <c r="B149" i="3"/>
  <c r="B146" i="3"/>
  <c r="B144" i="3"/>
  <c r="B143" i="3"/>
  <c r="C129" i="2"/>
  <c r="D129" i="2"/>
  <c r="H129" i="2"/>
  <c r="I129" i="2"/>
  <c r="J129" i="2"/>
  <c r="C128" i="2"/>
  <c r="D128" i="2"/>
  <c r="H128" i="2"/>
  <c r="I128" i="2"/>
  <c r="J128" i="2"/>
  <c r="C122" i="2"/>
  <c r="C124" i="2" s="1"/>
  <c r="D126" i="2" l="1"/>
  <c r="K123" i="2"/>
  <c r="I126" i="2"/>
  <c r="C126" i="2"/>
  <c r="J126" i="2"/>
  <c r="E113" i="2"/>
  <c r="E123" i="2" s="1"/>
  <c r="C147" i="6"/>
  <c r="C146" i="6"/>
  <c r="C148" i="6" s="1"/>
  <c r="C150" i="6" s="1"/>
  <c r="B149" i="6"/>
  <c r="B147" i="6"/>
  <c r="C154" i="6" l="1"/>
  <c r="B129" i="2"/>
  <c r="F137" i="6"/>
  <c r="C155" i="6" l="1"/>
  <c r="K112" i="2"/>
  <c r="E112" i="2"/>
  <c r="C130" i="2" l="1"/>
  <c r="D130" i="2"/>
  <c r="J131" i="2"/>
  <c r="F136" i="6"/>
  <c r="K111" i="2"/>
  <c r="E111" i="2"/>
  <c r="I131" i="2" l="1"/>
  <c r="C131" i="2"/>
  <c r="D131" i="2"/>
  <c r="J130" i="2"/>
  <c r="I130" i="2"/>
  <c r="F135" i="6" l="1"/>
  <c r="H110" i="2"/>
  <c r="K110" i="2" s="1"/>
  <c r="E110" i="2"/>
  <c r="F134" i="6"/>
  <c r="K109" i="2"/>
  <c r="E109" i="2"/>
  <c r="A2" i="11"/>
  <c r="F133" i="6" l="1"/>
  <c r="K108" i="2"/>
  <c r="E108" i="2"/>
  <c r="B5" i="1"/>
  <c r="G15" i="10" s="1"/>
  <c r="F132" i="6"/>
  <c r="K107" i="2"/>
  <c r="E107" i="2"/>
  <c r="F131" i="6"/>
  <c r="H106" i="2"/>
  <c r="K106" i="2" s="1"/>
  <c r="E106" i="2"/>
  <c r="F130" i="6"/>
  <c r="K105" i="2"/>
  <c r="B105" i="2"/>
  <c r="E105" i="2"/>
  <c r="B145" i="3"/>
  <c r="B151" i="3" s="1"/>
  <c r="B144" i="5"/>
  <c r="B148" i="5" s="1"/>
  <c r="B146" i="4"/>
  <c r="B148" i="4" s="1"/>
  <c r="M129" i="2"/>
  <c r="O128" i="2"/>
  <c r="F129" i="6"/>
  <c r="K104" i="2"/>
  <c r="E104" i="2"/>
  <c r="A2" i="1"/>
  <c r="A2" i="10"/>
  <c r="B144" i="7"/>
  <c r="B151" i="7" s="1"/>
  <c r="F149" i="6"/>
  <c r="F128" i="6"/>
  <c r="B121" i="8"/>
  <c r="B126" i="8" s="1"/>
  <c r="B103" i="2"/>
  <c r="E103" i="2"/>
  <c r="K103" i="2"/>
  <c r="F127" i="6"/>
  <c r="K102" i="2"/>
  <c r="E102" i="2"/>
  <c r="F126" i="6"/>
  <c r="K101" i="2"/>
  <c r="E101" i="2"/>
  <c r="F125" i="6"/>
  <c r="K100" i="2"/>
  <c r="E100" i="2"/>
  <c r="B148" i="6"/>
  <c r="B154" i="6" s="1"/>
  <c r="F124" i="6"/>
  <c r="K99" i="2"/>
  <c r="E99" i="2"/>
  <c r="F147" i="6"/>
  <c r="F123" i="6"/>
  <c r="E98" i="2"/>
  <c r="K98" i="2"/>
  <c r="F122" i="6"/>
  <c r="H87" i="2"/>
  <c r="K87" i="2"/>
  <c r="K97" i="2"/>
  <c r="E97" i="2"/>
  <c r="D27" i="1"/>
  <c r="B59" i="11" s="1"/>
  <c r="F121" i="6"/>
  <c r="K95" i="2"/>
  <c r="E95" i="2"/>
  <c r="F119" i="6"/>
  <c r="K94" i="2"/>
  <c r="E94" i="2"/>
  <c r="F120" i="6"/>
  <c r="K96" i="2"/>
  <c r="E96" i="2"/>
  <c r="F118" i="6"/>
  <c r="K93" i="2"/>
  <c r="E93" i="2"/>
  <c r="B72" i="1"/>
  <c r="B73" i="1"/>
  <c r="P83" i="1"/>
  <c r="N83" i="1"/>
  <c r="N91" i="1" s="1"/>
  <c r="O91" i="1"/>
  <c r="G83" i="1" s="1"/>
  <c r="F117" i="6"/>
  <c r="K92" i="2"/>
  <c r="E92" i="2"/>
  <c r="F116" i="6"/>
  <c r="K91" i="2"/>
  <c r="K128" i="2" s="1"/>
  <c r="B91" i="2"/>
  <c r="B128" i="2" s="1"/>
  <c r="F115" i="6"/>
  <c r="K90" i="2"/>
  <c r="E90" i="2"/>
  <c r="F114" i="6"/>
  <c r="H89" i="2"/>
  <c r="B89" i="2"/>
  <c r="E89" i="2" s="1"/>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K129" i="2" s="1"/>
  <c r="E78" i="2"/>
  <c r="E129" i="2" s="1"/>
  <c r="K77" i="2"/>
  <c r="E77" i="2"/>
  <c r="K76" i="2"/>
  <c r="E76" i="2"/>
  <c r="K75" i="2"/>
  <c r="E75" i="2"/>
  <c r="K74" i="2"/>
  <c r="E74" i="2"/>
  <c r="K73" i="2"/>
  <c r="E73" i="2"/>
  <c r="K72" i="2"/>
  <c r="E72" i="2"/>
  <c r="K71" i="2"/>
  <c r="E71" i="2"/>
  <c r="K70" i="2"/>
  <c r="E70" i="2"/>
  <c r="F94" i="6"/>
  <c r="K69" i="2"/>
  <c r="E69" i="2"/>
  <c r="F93" i="6"/>
  <c r="K68" i="2"/>
  <c r="E68" i="2"/>
  <c r="F92" i="6"/>
  <c r="K67" i="2"/>
  <c r="E67" i="2"/>
  <c r="F91" i="6"/>
  <c r="P119" i="2"/>
  <c r="K66" i="2"/>
  <c r="E66" i="2"/>
  <c r="F90" i="6"/>
  <c r="K65" i="2"/>
  <c r="E65" i="2"/>
  <c r="F89" i="6"/>
  <c r="K64" i="2"/>
  <c r="E64" i="2"/>
  <c r="F88" i="6"/>
  <c r="K63" i="2"/>
  <c r="E63" i="2"/>
  <c r="F87" i="6"/>
  <c r="K62" i="2"/>
  <c r="E62" i="2"/>
  <c r="F86" i="6"/>
  <c r="K61" i="2"/>
  <c r="E61" i="2"/>
  <c r="F85" i="6"/>
  <c r="K60" i="2"/>
  <c r="E60" i="2"/>
  <c r="F84" i="6"/>
  <c r="K59" i="2"/>
  <c r="E59" i="2"/>
  <c r="F143" i="6"/>
  <c r="F83" i="6"/>
  <c r="K58" i="2"/>
  <c r="E58" i="2"/>
  <c r="F82" i="6"/>
  <c r="K57" i="2"/>
  <c r="E57" i="2"/>
  <c r="F81" i="6"/>
  <c r="K56" i="2"/>
  <c r="E56" i="2"/>
  <c r="F80" i="6"/>
  <c r="K55" i="2"/>
  <c r="E55" i="2"/>
  <c r="F79" i="6"/>
  <c r="K54" i="2"/>
  <c r="E54" i="2"/>
  <c r="F78" i="6"/>
  <c r="F45" i="1"/>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B26" i="1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K119" i="2"/>
  <c r="Q119" i="2" s="1"/>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39" i="3"/>
  <c r="K3" i="2"/>
  <c r="E3" i="2"/>
  <c r="A138" i="7"/>
  <c r="A115" i="8"/>
  <c r="A142" i="6"/>
  <c r="A138" i="5"/>
  <c r="A139" i="4"/>
  <c r="G118" i="2"/>
  <c r="A118" i="2"/>
  <c r="B23" i="11"/>
  <c r="B18" i="11"/>
  <c r="B17" i="11"/>
  <c r="B16" i="11"/>
  <c r="B12" i="11"/>
  <c r="B11" i="11"/>
  <c r="B13" i="11" s="1"/>
  <c r="B10" i="11"/>
  <c r="B7" i="11"/>
  <c r="B6" i="11"/>
  <c r="B5" i="11"/>
  <c r="H42" i="1"/>
  <c r="I18" i="1"/>
  <c r="B50" i="11" s="1"/>
  <c r="I16" i="1"/>
  <c r="B48" i="11" s="1"/>
  <c r="I17" i="1"/>
  <c r="B49" i="11" s="1"/>
  <c r="H18" i="1"/>
  <c r="B46" i="11" s="1"/>
  <c r="H17" i="1"/>
  <c r="B45" i="11" s="1"/>
  <c r="H16" i="1"/>
  <c r="B44" i="11" s="1"/>
  <c r="B8" i="1"/>
  <c r="I34" i="1" s="1"/>
  <c r="B7" i="1"/>
  <c r="B67" i="1" s="1"/>
  <c r="B76" i="1" s="1"/>
  <c r="B80" i="1" s="1"/>
  <c r="B6" i="1"/>
  <c r="G14" i="10"/>
  <c r="H14" i="10" s="1"/>
  <c r="B19" i="10"/>
  <c r="B18" i="10"/>
  <c r="I42" i="1"/>
  <c r="B24" i="11"/>
  <c r="F151" i="6"/>
  <c r="O125" i="2"/>
  <c r="O123" i="2"/>
  <c r="M123" i="2"/>
  <c r="E91" i="2"/>
  <c r="E128" i="2" s="1"/>
  <c r="O129" i="2"/>
  <c r="M125" i="2"/>
  <c r="M128" i="2"/>
  <c r="E122" i="2" l="1"/>
  <c r="E124" i="2" s="1"/>
  <c r="E125" i="2"/>
  <c r="K125" i="2"/>
  <c r="K122" i="2"/>
  <c r="K124" i="2" s="1"/>
  <c r="K126" i="2" s="1"/>
  <c r="B125" i="2"/>
  <c r="B122" i="2"/>
  <c r="B124" i="2" s="1"/>
  <c r="B126" i="2" s="1"/>
  <c r="H130" i="2"/>
  <c r="H131" i="2"/>
  <c r="K89" i="2"/>
  <c r="B150" i="6"/>
  <c r="F150" i="6" s="1"/>
  <c r="H34" i="1"/>
  <c r="D34" i="1"/>
  <c r="B21" i="11"/>
  <c r="B146" i="7"/>
  <c r="B150" i="7"/>
  <c r="F46" i="1"/>
  <c r="F47" i="1" s="1"/>
  <c r="B123" i="8"/>
  <c r="F154" i="6"/>
  <c r="F148" i="6"/>
  <c r="B155" i="6"/>
  <c r="B42" i="11"/>
  <c r="C34" i="1"/>
  <c r="B149" i="5"/>
  <c r="B19" i="11"/>
  <c r="I19" i="1"/>
  <c r="M124" i="2"/>
  <c r="O124" i="2"/>
  <c r="B130" i="2"/>
  <c r="B131" i="2"/>
  <c r="B152" i="3"/>
  <c r="B147" i="3"/>
  <c r="B40" i="11"/>
  <c r="B77" i="1"/>
  <c r="B82" i="1" s="1"/>
  <c r="B83" i="1" s="1"/>
  <c r="H19" i="1"/>
  <c r="G34" i="10"/>
  <c r="G37" i="10"/>
  <c r="G36" i="10"/>
  <c r="G38" i="10"/>
  <c r="G35" i="10"/>
  <c r="G39" i="10"/>
  <c r="G28" i="10"/>
  <c r="B13" i="1"/>
  <c r="H15" i="10"/>
  <c r="I15" i="10" s="1"/>
  <c r="G13" i="10"/>
  <c r="I14" i="10"/>
  <c r="F89" i="1"/>
  <c r="F83" i="1"/>
  <c r="P91" i="1"/>
  <c r="H89" i="1" s="1"/>
  <c r="G89" i="1"/>
  <c r="G91" i="1" s="1"/>
  <c r="E126" i="2" l="1"/>
  <c r="E130" i="2"/>
  <c r="E131" i="2"/>
  <c r="K131" i="2"/>
  <c r="K130" i="2"/>
  <c r="I13" i="10"/>
  <c r="H13" i="10"/>
  <c r="F152" i="6"/>
  <c r="F155" i="6"/>
  <c r="B85" i="1"/>
  <c r="B88" i="1"/>
  <c r="B12" i="1"/>
  <c r="B38" i="11"/>
  <c r="C13" i="1"/>
  <c r="H83" i="1"/>
  <c r="H91" i="1" s="1"/>
  <c r="F91" i="1"/>
  <c r="K83" i="1"/>
  <c r="J83" i="1"/>
  <c r="L83" i="1" l="1"/>
  <c r="B89" i="1"/>
  <c r="K89" i="1" s="1"/>
  <c r="K91" i="1" s="1"/>
  <c r="F59" i="1" s="1"/>
  <c r="B56" i="11" s="1"/>
  <c r="C12" i="1"/>
  <c r="D12" i="1" s="1"/>
  <c r="C16" i="1"/>
  <c r="C56" i="1"/>
  <c r="C17" i="1"/>
  <c r="C18" i="1"/>
  <c r="C42" i="1"/>
  <c r="B11" i="1"/>
  <c r="D13" i="1"/>
  <c r="L89" i="1" l="1"/>
  <c r="L91" i="1" s="1"/>
  <c r="G59" i="1" s="1"/>
  <c r="J89" i="1"/>
  <c r="J91" i="1" s="1"/>
  <c r="H59" i="1" s="1"/>
  <c r="B30" i="11"/>
  <c r="C23" i="1"/>
  <c r="C24" i="1"/>
  <c r="C22" i="1"/>
  <c r="C19" i="1"/>
  <c r="C11" i="1"/>
  <c r="D42" i="1"/>
  <c r="B42" i="1" s="1"/>
  <c r="D11" i="1"/>
  <c r="D16" i="1"/>
  <c r="B16" i="1" s="1"/>
  <c r="D18" i="1"/>
  <c r="D24" i="1" s="1"/>
  <c r="D17" i="1"/>
  <c r="D23" i="1" s="1"/>
  <c r="D56" i="1"/>
  <c r="B56" i="1" s="1"/>
  <c r="B55" i="11" s="1"/>
  <c r="B52" i="11" l="1"/>
  <c r="B45" i="1"/>
  <c r="B50" i="1" s="1"/>
  <c r="B18" i="1"/>
  <c r="B24" i="1"/>
  <c r="D19" i="1"/>
  <c r="D22" i="1"/>
  <c r="D25" i="1" s="1"/>
  <c r="C25" i="1"/>
  <c r="C30" i="1" s="1"/>
  <c r="B59" i="1"/>
  <c r="B23" i="1"/>
  <c r="B17" i="1"/>
  <c r="B19" i="1" l="1"/>
  <c r="B22" i="1"/>
  <c r="B25" i="1" s="1"/>
  <c r="D29" i="1"/>
  <c r="B57" i="11"/>
  <c r="H33" i="1"/>
  <c r="H35" i="1" s="1"/>
  <c r="C33" i="1"/>
  <c r="C35" i="1" s="1"/>
  <c r="B46" i="1"/>
  <c r="B51" i="1" s="1"/>
  <c r="B52" i="1" s="1"/>
  <c r="D28" i="1" l="1"/>
  <c r="D30" i="1" s="1"/>
  <c r="B53" i="11"/>
  <c r="H18" i="10"/>
  <c r="C9" i="10"/>
  <c r="B35" i="11" s="1"/>
  <c r="H19" i="10"/>
  <c r="C10" i="10"/>
  <c r="D33" i="1" l="1"/>
  <c r="D35" i="1" s="1"/>
  <c r="I33" i="1"/>
  <c r="I35" i="1" s="1"/>
  <c r="B30" i="1"/>
  <c r="B61" i="11" s="1"/>
  <c r="H20" i="10"/>
  <c r="B20" i="10"/>
  <c r="I19" i="10" l="1"/>
  <c r="G19" i="10" s="1"/>
  <c r="D10" i="10"/>
  <c r="B10" i="10"/>
  <c r="G10" i="10"/>
  <c r="I18" i="10"/>
  <c r="B9" i="10"/>
  <c r="B34" i="11" s="1"/>
  <c r="D9" i="10"/>
  <c r="B36" i="11" s="1"/>
  <c r="G9" i="10"/>
  <c r="G45" i="10"/>
  <c r="G18" i="10" l="1"/>
  <c r="G20" i="10" s="1"/>
  <c r="G27" i="10" s="1"/>
  <c r="G40" i="10" s="1"/>
  <c r="G42" i="10" s="1"/>
  <c r="I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 ref="H110" authorId="0" shapeId="0" xr:uid="{8077E8F9-C924-46E7-BEC7-F82F649ACFAC}">
      <text>
        <r>
          <rPr>
            <b/>
            <sz val="9"/>
            <color indexed="81"/>
            <rFont val="Tahoma"/>
            <family val="2"/>
          </rPr>
          <t>Satre, Michele:</t>
        </r>
        <r>
          <rPr>
            <sz val="9"/>
            <color indexed="81"/>
            <rFont val="Tahoma"/>
            <family val="2"/>
          </rPr>
          <t xml:space="preserve">
Added .01% to get total to equal 100%</t>
        </r>
      </text>
    </comment>
    <comment ref="B113" authorId="0" shapeId="0" xr:uid="{3D0A1DBE-5765-4C6A-BD21-454B509DB861}">
      <text>
        <r>
          <rPr>
            <b/>
            <sz val="9"/>
            <color indexed="81"/>
            <rFont val="Tahoma"/>
            <family val="2"/>
          </rPr>
          <t>Satre, Michele:</t>
        </r>
        <r>
          <rPr>
            <sz val="9"/>
            <color indexed="81"/>
            <rFont val="Tahoma"/>
            <family val="2"/>
          </rPr>
          <t xml:space="preserve">
Add .01% to get the amounts to total 100%</t>
        </r>
      </text>
    </comment>
  </commentList>
</comments>
</file>

<file path=xl/sharedStrings.xml><?xml version="1.0" encoding="utf-8"?>
<sst xmlns="http://schemas.openxmlformats.org/spreadsheetml/2006/main" count="348" uniqueCount="218">
  <si>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</si>
  <si>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</si>
  <si>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</si>
  <si>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</si>
  <si>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</si>
  <si>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</si>
  <si>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</si>
  <si>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</si>
  <si>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</si>
  <si>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</si>
  <si>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</si>
  <si>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</si>
  <si>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</si>
  <si>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</si>
  <si>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</si>
  <si>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</si>
  <si>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</si>
  <si>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</si>
  <si>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</si>
  <si>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</si>
  <si>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</si>
  <si>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</si>
  <si>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</si>
  <si>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</si>
  <si>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</si>
  <si>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</si>
  <si>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</si>
  <si>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</si>
  <si>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</si>
  <si>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</si>
  <si>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</si>
  <si>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</si>
  <si>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</si>
  <si>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</si>
  <si>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</si>
  <si>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</si>
  <si>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</si>
  <si>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</si>
  <si>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</si>
  <si>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</si>
  <si>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</si>
  <si>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</si>
  <si>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</si>
  <si>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</si>
  <si>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</si>
  <si>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</si>
  <si>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</si>
  <si>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</si>
  <si>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</si>
  <si>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</si>
  <si>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</si>
  <si>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</si>
  <si>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</si>
  <si>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</si>
  <si>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</si>
  <si>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</si>
  <si>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</si>
  <si>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</si>
  <si>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</si>
  <si>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</si>
  <si>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</si>
  <si>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</si>
  <si>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</si>
  <si>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</si>
  <si>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</si>
  <si>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</si>
  <si>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</si>
  <si>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</si>
  <si>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</si>
  <si>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</si>
  <si>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</si>
  <si>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</si>
  <si>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</si>
  <si>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</si>
  <si>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</si>
  <si>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</si>
  <si>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</si>
  <si>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</si>
  <si>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</si>
  <si>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</si>
  <si>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</si>
  <si>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</si>
  <si>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t>
    </r>
  </si>
  <si>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</si>
  <si>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</si>
  <si>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</si>
  <si>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</si>
  <si>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</si>
  <si>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</si>
  <si>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</si>
  <si>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</si>
  <si>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</si>
  <si>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</si>
  <si>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</si>
  <si>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</si>
  <si>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</si>
  <si>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</si>
  <si>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</si>
  <si>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</si>
  <si>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</si>
  <si>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</si>
  <si>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</si>
  <si>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</si>
  <si>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</si>
  <si>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</si>
  <si>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</si>
  <si>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</si>
  <si>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</si>
  <si>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</si>
  <si>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</si>
  <si>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</si>
  <si>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</si>
  <si>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</si>
  <si>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</si>
  <si>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</si>
  <si>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</si>
  <si>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</si>
  <si>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</si>
  <si>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</si>
  <si>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</si>
  <si>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</si>
  <si>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</si>
  <si>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</si>
  <si>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</si>
  <si>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</si>
  <si>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</si>
  <si>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</si>
  <si>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</si>
  <si>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</si>
  <si>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</si>
  <si>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</si>
  <si>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</si>
  <si>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</si>
  <si>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</si>
  <si>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</si>
  <si>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</si>
  <si>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</si>
  <si>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</si>
  <si>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</si>
  <si>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</si>
  <si>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</si>
  <si>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</si>
  <si>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</si>
  <si>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</si>
  <si>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</si>
  <si>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</si>
  <si>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</si>
  <si>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</si>
  <si>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</si>
  <si>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</si>
  <si>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</si>
  <si>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</si>
  <si>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</si>
  <si>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</si>
  <si>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</si>
  <si>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</si>
  <si>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</si>
  <si>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</si>
  <si>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</si>
  <si>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</si>
  <si>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</si>
  <si>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</si>
  <si>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</si>
  <si>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</si>
  <si>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</si>
  <si>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</si>
  <si>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</si>
  <si>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</si>
  <si>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</si>
  <si>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</si>
  <si>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</si>
  <si>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</si>
  <si>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</si>
  <si>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</si>
  <si>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</si>
  <si>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</si>
  <si>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</si>
  <si>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</si>
  <si>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</si>
  <si>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</si>
  <si>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</si>
  <si>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</si>
  <si>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</si>
  <si>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</si>
  <si>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</si>
  <si>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</si>
  <si>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</si>
  <si>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</si>
  <si>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</si>
  <si>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</si>
  <si>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</si>
  <si>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</si>
  <si>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</si>
  <si>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</si>
  <si>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</si>
  <si>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</si>
  <si>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</si>
  <si>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</si>
  <si>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plants are reporting a shortage of bulk milk since summer. 2/20/23 ms</t>
  </si>
  <si>
    <t>The Data is from Pooling Summary Report - Utilization of Production</t>
  </si>
  <si>
    <t>Federal Price</t>
  </si>
  <si>
    <t>Note:  December 2015 - December 2017 are recalculated figures that reflect percentages that would have existed if rules in effect on Aug. 1, 2017  were in effect in the past</t>
  </si>
  <si>
    <t>Will use 0.0% for Est December 2024.  February 2024 was the only time there has been bulk surplus since December 2023. This Feb load was sent out-of state because of a refrigeration issue. 3/19/24 ms</t>
  </si>
  <si>
    <t>Note:  Novober 2015 - January 2017 are recalculated figures that reflect percentages that would have existed if rules in effect on Aug. 1, 2017  were in effect in the past</t>
  </si>
  <si>
    <t>Note:  January 2015 - July 2017 are recalculated figures that reflect percentages that would have existed if rules in effect on Aug. 1, 2017  were in effect in the past</t>
  </si>
  <si>
    <t xml:space="preserve">Instead of the averages in cells </t>
  </si>
  <si>
    <t>Est February 2025</t>
  </si>
  <si>
    <t>February 2024</t>
  </si>
  <si>
    <t>February 2023</t>
  </si>
  <si>
    <t>February 2022</t>
  </si>
  <si>
    <t>Ave:  February 25 Est, 24, 23, 22</t>
  </si>
  <si>
    <t>Ave:  February 25 Est, 24, 23</t>
  </si>
  <si>
    <t>Est  February  2025</t>
  </si>
  <si>
    <t>February  2023</t>
  </si>
  <si>
    <t>December 2024</t>
  </si>
  <si>
    <t>February 2024 - December 2023 Delta</t>
  </si>
  <si>
    <t>February 2024 - December 2023  Delta</t>
  </si>
  <si>
    <t xml:space="preserve">Ave:  February 25 Est, 24, 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</si>
</sst>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5">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2" borderId="0" xfId="0" applyNumberFormat="1" applyFont="1" applyFill="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0" fillId="0" borderId="15" xfId="0" applyBorder="1"/>
    <xf numFmtId="177" fontId="0" fillId="0" borderId="16" xfId="126" applyNumberFormat="1" applyFont="1" applyBorder="1"/>
    <xf numFmtId="0" fontId="0" fillId="0" borderId="16" xfId="0" applyBorder="1"/>
    <xf numFmtId="164" fontId="0" fillId="0" borderId="16" xfId="0" applyNumberFormat="1" applyBorder="1"/>
    <xf numFmtId="164" fontId="0" fillId="0" borderId="17" xfId="0" applyNumberFormat="1" applyBorder="1"/>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FF99"/>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election activeCell="A6" sqref="A6"/>
    </sheetView>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28"/>
  <sheetViews>
    <sheetView zoomScaleNormal="100" workbookViewId="0">
      <pane ySplit="1" topLeftCell="A102" activePane="bottomLeft" state="frozen"/>
      <selection pane="bottomLeft" activeCell="F115" sqref="F115"/>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136</v>
      </c>
      <c r="E1" s="4"/>
    </row>
    <row r="2" spans="1:5" hidden="1" x14ac:dyDescent="0.25">
      <c r="A2" s="15">
        <v>42278</v>
      </c>
      <c r="B2" s="25">
        <v>0.30533199999999999</v>
      </c>
      <c r="D2" s="216" t="s">
        <v>204</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5">
        <v>44197</v>
      </c>
      <c r="B65" s="25">
        <v>0.11081000000000001</v>
      </c>
      <c r="D65" s="25"/>
      <c r="E65" s="95"/>
      <c r="F65" s="25"/>
    </row>
    <row r="66" spans="1:6" x14ac:dyDescent="0.25">
      <c r="A66" s="15">
        <v>44228</v>
      </c>
      <c r="B66" s="25">
        <v>0.12178899999999999</v>
      </c>
      <c r="D66" s="25"/>
      <c r="E66" s="95"/>
      <c r="F66" s="25"/>
    </row>
    <row r="67" spans="1:6" x14ac:dyDescent="0.25">
      <c r="A67" s="15">
        <v>44256</v>
      </c>
      <c r="B67" s="25">
        <v>0.10184699999999999</v>
      </c>
      <c r="D67" s="25"/>
      <c r="E67" s="95"/>
      <c r="F67" s="25"/>
    </row>
    <row r="68" spans="1:6" x14ac:dyDescent="0.25">
      <c r="A68" s="15">
        <v>44287</v>
      </c>
      <c r="B68" s="25">
        <v>0.105003</v>
      </c>
      <c r="D68" s="25"/>
      <c r="E68" s="95"/>
      <c r="F68" s="25"/>
    </row>
    <row r="69" spans="1:6" x14ac:dyDescent="0.25">
      <c r="A69" s="15">
        <v>44317</v>
      </c>
      <c r="B69" s="25">
        <v>0.118489</v>
      </c>
      <c r="D69" s="25"/>
      <c r="E69" s="95"/>
      <c r="F69" s="25"/>
    </row>
    <row r="70" spans="1:6" x14ac:dyDescent="0.25">
      <c r="A70" s="15">
        <v>44348</v>
      </c>
      <c r="B70" s="25">
        <v>0.12729499999999999</v>
      </c>
      <c r="D70" s="25"/>
      <c r="E70" s="95"/>
      <c r="F70" s="25"/>
    </row>
    <row r="71" spans="1:6" x14ac:dyDescent="0.25">
      <c r="A71" s="15">
        <v>44378</v>
      </c>
      <c r="B71" s="25">
        <v>0.15543499999999999</v>
      </c>
      <c r="D71" s="25"/>
      <c r="E71" s="95"/>
      <c r="F71" s="25"/>
    </row>
    <row r="72" spans="1:6" x14ac:dyDescent="0.25">
      <c r="A72" s="15">
        <v>44409</v>
      </c>
      <c r="B72" s="25">
        <v>0.11372500000000001</v>
      </c>
      <c r="D72" s="25"/>
      <c r="E72" s="95"/>
      <c r="F72" s="25"/>
    </row>
    <row r="73" spans="1:6" x14ac:dyDescent="0.25">
      <c r="A73" s="15">
        <v>44440</v>
      </c>
      <c r="B73" s="25">
        <v>0.106616</v>
      </c>
      <c r="D73" s="25"/>
      <c r="E73" s="95"/>
      <c r="F73" s="25"/>
    </row>
    <row r="74" spans="1:6" x14ac:dyDescent="0.25">
      <c r="A74" s="15">
        <v>44470</v>
      </c>
      <c r="B74" s="25">
        <v>8.9302999999999993E-2</v>
      </c>
      <c r="D74" s="25"/>
      <c r="E74" s="95"/>
      <c r="F74" s="25"/>
    </row>
    <row r="75" spans="1:6" x14ac:dyDescent="0.25">
      <c r="A75" s="15">
        <v>44501</v>
      </c>
      <c r="B75" s="25">
        <v>6.6633999999999999E-2</v>
      </c>
      <c r="D75" s="25"/>
      <c r="E75" s="95"/>
      <c r="F75" s="25"/>
    </row>
    <row r="76" spans="1:6" x14ac:dyDescent="0.25">
      <c r="A76" s="15">
        <v>44531</v>
      </c>
      <c r="B76" s="25">
        <v>0.106876</v>
      </c>
      <c r="D76" s="25"/>
      <c r="E76" s="95"/>
      <c r="F76" s="25"/>
    </row>
    <row r="77" spans="1:6" x14ac:dyDescent="0.25">
      <c r="A77" s="15">
        <v>44562</v>
      </c>
      <c r="B77" s="25">
        <v>0.108279</v>
      </c>
      <c r="D77" s="25"/>
      <c r="E77" s="95"/>
      <c r="F77" s="25"/>
    </row>
    <row r="78" spans="1:6" x14ac:dyDescent="0.25">
      <c r="A78" s="15">
        <v>44593</v>
      </c>
      <c r="B78" s="25">
        <v>0.11074299999999999</v>
      </c>
      <c r="D78" s="25"/>
      <c r="E78" s="95"/>
      <c r="F78" s="25"/>
    </row>
    <row r="79" spans="1:6" x14ac:dyDescent="0.25">
      <c r="A79" s="15">
        <v>44621</v>
      </c>
      <c r="B79" s="25">
        <v>0.12986900000000001</v>
      </c>
      <c r="D79" s="25"/>
      <c r="E79" s="95"/>
      <c r="F79" s="25"/>
    </row>
    <row r="80" spans="1:6" x14ac:dyDescent="0.25">
      <c r="A80" s="15">
        <v>44652</v>
      </c>
      <c r="B80" s="25">
        <v>0.15177599999999999</v>
      </c>
      <c r="D80" s="25"/>
      <c r="E80" s="95"/>
      <c r="F80" s="25"/>
    </row>
    <row r="81" spans="1:6" x14ac:dyDescent="0.25">
      <c r="A81" s="15">
        <v>44682</v>
      </c>
      <c r="B81" s="25">
        <v>0.110897</v>
      </c>
      <c r="D81" s="25"/>
      <c r="E81" s="95"/>
      <c r="F81" s="25"/>
    </row>
    <row r="82" spans="1:6" x14ac:dyDescent="0.25">
      <c r="A82" s="15">
        <v>44713</v>
      </c>
      <c r="B82" s="25">
        <v>0.123853</v>
      </c>
      <c r="D82" s="25"/>
      <c r="E82" s="95"/>
      <c r="F82" s="25"/>
    </row>
    <row r="83" spans="1:6" x14ac:dyDescent="0.25">
      <c r="A83" s="15">
        <v>44743</v>
      </c>
      <c r="B83" s="25">
        <v>0.12698699999999999</v>
      </c>
      <c r="D83" s="25"/>
      <c r="E83" s="95"/>
      <c r="F83" s="25"/>
    </row>
    <row r="84" spans="1:6" x14ac:dyDescent="0.25">
      <c r="A84" s="15">
        <v>44774</v>
      </c>
      <c r="B84" s="25">
        <v>0.12057</v>
      </c>
      <c r="D84" s="25"/>
      <c r="E84" s="95"/>
      <c r="F84" s="25"/>
    </row>
    <row r="85" spans="1:6" x14ac:dyDescent="0.25">
      <c r="A85" s="15">
        <v>44805</v>
      </c>
      <c r="B85" s="25">
        <v>0.14147799999999999</v>
      </c>
      <c r="D85" s="25"/>
      <c r="E85" s="95"/>
      <c r="F85" s="25"/>
    </row>
    <row r="86" spans="1:6" x14ac:dyDescent="0.25">
      <c r="A86" s="15">
        <v>44835</v>
      </c>
      <c r="B86" s="25">
        <v>0.147482</v>
      </c>
      <c r="D86" s="25"/>
      <c r="E86" s="95"/>
      <c r="F86" s="25"/>
    </row>
    <row r="87" spans="1:6" x14ac:dyDescent="0.25">
      <c r="A87" s="15">
        <v>44866</v>
      </c>
      <c r="B87" s="25">
        <v>0</v>
      </c>
      <c r="D87" s="25"/>
      <c r="E87" s="95"/>
      <c r="F87" s="25"/>
    </row>
    <row r="88" spans="1:6" x14ac:dyDescent="0.25">
      <c r="A88" s="15">
        <v>44896</v>
      </c>
      <c r="B88" s="25">
        <v>0.13514499999999999</v>
      </c>
    </row>
    <row r="89" spans="1:6" x14ac:dyDescent="0.25">
      <c r="A89" s="15">
        <v>44927</v>
      </c>
      <c r="B89" s="25">
        <v>0.10367700000000001</v>
      </c>
    </row>
    <row r="90" spans="1:6" x14ac:dyDescent="0.25">
      <c r="A90" s="15">
        <v>44958</v>
      </c>
      <c r="B90" s="25">
        <v>0.12101099999999999</v>
      </c>
    </row>
    <row r="91" spans="1:6" x14ac:dyDescent="0.25">
      <c r="A91" s="15">
        <v>44986</v>
      </c>
      <c r="B91" s="25">
        <v>0.20216300000000001</v>
      </c>
    </row>
    <row r="92" spans="1:6" x14ac:dyDescent="0.25">
      <c r="A92" s="15">
        <v>45017</v>
      </c>
      <c r="B92" s="25">
        <v>0.241227</v>
      </c>
    </row>
    <row r="93" spans="1:6" x14ac:dyDescent="0.25">
      <c r="A93" s="15">
        <v>45047</v>
      </c>
      <c r="B93" s="25">
        <v>0.37820399999999998</v>
      </c>
    </row>
    <row r="94" spans="1:6" x14ac:dyDescent="0.25">
      <c r="A94" s="15">
        <v>45078</v>
      </c>
      <c r="B94" s="25">
        <v>0.31261899999999998</v>
      </c>
    </row>
    <row r="95" spans="1:6" x14ac:dyDescent="0.25">
      <c r="A95" s="15">
        <v>45108</v>
      </c>
      <c r="B95" s="25">
        <v>0.40142899999999998</v>
      </c>
    </row>
    <row r="96" spans="1:6" x14ac:dyDescent="0.25">
      <c r="A96" s="15">
        <v>45139</v>
      </c>
      <c r="B96" s="25">
        <v>0.30302499999999999</v>
      </c>
    </row>
    <row r="97" spans="1:2" x14ac:dyDescent="0.25">
      <c r="A97" s="15">
        <v>45170</v>
      </c>
      <c r="B97" s="25">
        <v>0.205092</v>
      </c>
    </row>
    <row r="98" spans="1:2" x14ac:dyDescent="0.25">
      <c r="A98" s="15">
        <v>45200</v>
      </c>
      <c r="B98" s="25">
        <v>0.31087999999999999</v>
      </c>
    </row>
    <row r="99" spans="1:2" x14ac:dyDescent="0.25">
      <c r="A99" s="15">
        <v>45231</v>
      </c>
      <c r="B99" s="25">
        <v>0.269316</v>
      </c>
    </row>
    <row r="100" spans="1:2" x14ac:dyDescent="0.25">
      <c r="A100" s="15">
        <v>45261</v>
      </c>
      <c r="B100" s="25">
        <v>0.30130299999999999</v>
      </c>
    </row>
    <row r="101" spans="1:2" x14ac:dyDescent="0.25">
      <c r="A101" s="15">
        <v>45292</v>
      </c>
      <c r="B101" s="25">
        <v>0.29108499999999998</v>
      </c>
    </row>
    <row r="102" spans="1:2" x14ac:dyDescent="0.25">
      <c r="A102" s="15">
        <v>45323</v>
      </c>
      <c r="B102" s="25">
        <v>0.29903400000000002</v>
      </c>
    </row>
    <row r="103" spans="1:2" x14ac:dyDescent="0.25">
      <c r="A103" s="15">
        <v>45352</v>
      </c>
      <c r="B103" s="25">
        <v>0.45419599999999999</v>
      </c>
    </row>
    <row r="104" spans="1:2" x14ac:dyDescent="0.25">
      <c r="A104" s="15">
        <v>45383</v>
      </c>
      <c r="B104" s="25">
        <v>0.34164499999999998</v>
      </c>
    </row>
    <row r="105" spans="1:2" x14ac:dyDescent="0.25">
      <c r="A105" s="15">
        <v>45413</v>
      </c>
      <c r="B105" s="25">
        <v>0.31060199999999999</v>
      </c>
    </row>
    <row r="106" spans="1:2" x14ac:dyDescent="0.25">
      <c r="A106" s="15">
        <v>45444</v>
      </c>
      <c r="B106" s="25">
        <v>0.30881900000000001</v>
      </c>
    </row>
    <row r="107" spans="1:2" x14ac:dyDescent="0.25">
      <c r="A107" s="15">
        <v>45474</v>
      </c>
      <c r="B107" s="25">
        <v>0.31423099999999998</v>
      </c>
    </row>
    <row r="108" spans="1:2" x14ac:dyDescent="0.25">
      <c r="A108" s="15">
        <v>45505</v>
      </c>
      <c r="B108" s="25">
        <v>0.38170900000000002</v>
      </c>
    </row>
    <row r="109" spans="1:2" x14ac:dyDescent="0.25">
      <c r="A109" s="15">
        <v>45536</v>
      </c>
      <c r="B109" s="25">
        <v>0.41731499999999999</v>
      </c>
    </row>
    <row r="110" spans="1:2" x14ac:dyDescent="0.25">
      <c r="A110" s="15">
        <v>45566</v>
      </c>
      <c r="B110" s="25">
        <v>0.41150399999999998</v>
      </c>
    </row>
    <row r="111" spans="1:2" x14ac:dyDescent="0.25">
      <c r="A111" s="15">
        <v>45597</v>
      </c>
      <c r="B111" s="25">
        <v>0.48625000000000002</v>
      </c>
    </row>
    <row r="112" spans="1:2" x14ac:dyDescent="0.25">
      <c r="A112" s="15">
        <v>45627</v>
      </c>
      <c r="B112" s="25">
        <v>0.39985799999999999</v>
      </c>
    </row>
    <row r="113" spans="1:17" x14ac:dyDescent="0.25">
      <c r="A113" s="15"/>
      <c r="B113" s="25"/>
    </row>
    <row r="114" spans="1:17" x14ac:dyDescent="0.25">
      <c r="A114" s="15"/>
      <c r="B114" s="25"/>
    </row>
    <row r="115" spans="1:17" ht="75" x14ac:dyDescent="0.25">
      <c r="A115" s="27">
        <f>Pooling_Month</f>
        <v>45658</v>
      </c>
      <c r="B115" s="20" t="s">
        <v>137</v>
      </c>
    </row>
    <row r="116" spans="1:17" x14ac:dyDescent="0.25">
      <c r="A116" s="31" t="s">
        <v>60</v>
      </c>
      <c r="B116" s="261">
        <v>0.39758900000000003</v>
      </c>
    </row>
    <row r="117" spans="1:17" ht="13.5" customHeight="1" x14ac:dyDescent="0.25"/>
    <row r="119" spans="1:17" ht="30" hidden="1" x14ac:dyDescent="0.25">
      <c r="A119" s="40" t="s">
        <v>215</v>
      </c>
      <c r="B119" s="95">
        <f>B102-B100</f>
        <v>-2.2689999999999655E-3</v>
      </c>
    </row>
    <row r="120" spans="1:17" hidden="1" x14ac:dyDescent="0.25">
      <c r="A120" s="93" t="s">
        <v>214</v>
      </c>
      <c r="B120" s="95">
        <f>B112</f>
        <v>0.39985799999999999</v>
      </c>
      <c r="J120" t="s">
        <v>196</v>
      </c>
    </row>
    <row r="121" spans="1:17" hidden="1" x14ac:dyDescent="0.25">
      <c r="A121" s="91" t="s">
        <v>206</v>
      </c>
      <c r="B121" s="95">
        <f>SUM(B119:B120)</f>
        <v>0.39758900000000003</v>
      </c>
      <c r="C121" s="3"/>
      <c r="D121" s="3"/>
      <c r="E121" s="3"/>
      <c r="F121" s="3"/>
      <c r="G121" s="3"/>
      <c r="H121" s="3"/>
      <c r="I121" s="3"/>
      <c r="J121" s="3"/>
      <c r="K121" s="3"/>
      <c r="L121" s="3"/>
      <c r="M121" s="3"/>
      <c r="N121" s="3"/>
      <c r="O121" s="3"/>
      <c r="P121" s="3"/>
      <c r="Q121" s="3"/>
    </row>
    <row r="122" spans="1:17" hidden="1" x14ac:dyDescent="0.25">
      <c r="A122" s="92" t="s">
        <v>207</v>
      </c>
      <c r="B122" s="95">
        <f>B102</f>
        <v>0.29903400000000002</v>
      </c>
      <c r="C122" s="3"/>
      <c r="D122" s="3"/>
      <c r="E122" s="3"/>
      <c r="F122" s="3"/>
      <c r="G122" s="3"/>
      <c r="H122" s="3"/>
      <c r="I122" s="3"/>
      <c r="J122" s="3"/>
      <c r="K122" s="3"/>
      <c r="L122" s="3"/>
      <c r="M122" s="3"/>
      <c r="N122" s="3"/>
      <c r="O122" s="3"/>
      <c r="P122" s="3"/>
      <c r="Q122" s="3"/>
    </row>
    <row r="123" spans="1:17" hidden="1" x14ac:dyDescent="0.25">
      <c r="A123" t="s">
        <v>84</v>
      </c>
      <c r="B123" s="25">
        <f>AVERAGE(B121:B122)</f>
        <v>0.3483115</v>
      </c>
    </row>
    <row r="124" spans="1:17" hidden="1" x14ac:dyDescent="0.25"/>
    <row r="125" spans="1:17" hidden="1" x14ac:dyDescent="0.25">
      <c r="A125" s="92" t="s">
        <v>208</v>
      </c>
      <c r="B125" s="25">
        <f>B90</f>
        <v>0.12101099999999999</v>
      </c>
    </row>
    <row r="126" spans="1:17" hidden="1" x14ac:dyDescent="0.25">
      <c r="A126" t="s">
        <v>86</v>
      </c>
      <c r="B126" s="25">
        <f>AVERAGE(B121:B122,B125)</f>
        <v>0.27254466666666666</v>
      </c>
    </row>
    <row r="127" spans="1:17" hidden="1" x14ac:dyDescent="0.25"/>
    <row r="128" spans="1:17" hidden="1" x14ac:dyDescent="0.25"/>
  </sheetData>
  <sheetProtection algorithmName="SHA-512" hashValue="scLYyH8Gbo5plvD32LC7E4GIfTpSkb68et7mMCswcGdhBWkqpkgJIZ17zfj3O+0V7ar+LHgdyLsbf5GaC7orFA==" saltValue="HnLqbRdn4QB+n+ypZ+gNVA=="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N156"/>
  <sheetViews>
    <sheetView workbookViewId="0">
      <pane ySplit="1" topLeftCell="A129" activePane="bottomLeft" state="frozen"/>
      <selection pane="bottomLeft" activeCell="A141" sqref="A141:XFD151"/>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141</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3" x14ac:dyDescent="0.25">
      <c r="A129" s="14">
        <v>45444</v>
      </c>
      <c r="B129" s="25">
        <v>0</v>
      </c>
    </row>
    <row r="130" spans="1:3" x14ac:dyDescent="0.25">
      <c r="A130" s="14">
        <v>45474</v>
      </c>
      <c r="B130" s="25">
        <v>0</v>
      </c>
    </row>
    <row r="131" spans="1:3" x14ac:dyDescent="0.25">
      <c r="A131" s="14">
        <v>45505</v>
      </c>
      <c r="B131" s="25">
        <v>0</v>
      </c>
    </row>
    <row r="132" spans="1:3" x14ac:dyDescent="0.25">
      <c r="A132" s="14">
        <v>45536</v>
      </c>
      <c r="B132" s="25">
        <v>0</v>
      </c>
    </row>
    <row r="133" spans="1:3" x14ac:dyDescent="0.25">
      <c r="A133" s="14">
        <v>45566</v>
      </c>
      <c r="B133" s="25">
        <v>0</v>
      </c>
    </row>
    <row r="134" spans="1:3" x14ac:dyDescent="0.25">
      <c r="A134" s="14">
        <v>45597</v>
      </c>
      <c r="B134" s="25">
        <v>0</v>
      </c>
    </row>
    <row r="135" spans="1:3" x14ac:dyDescent="0.25">
      <c r="A135" s="14">
        <v>45627</v>
      </c>
      <c r="B135" s="25">
        <v>0</v>
      </c>
    </row>
    <row r="136" spans="1:3" x14ac:dyDescent="0.25">
      <c r="A136" s="14"/>
      <c r="B136" s="25"/>
    </row>
    <row r="137" spans="1:3" x14ac:dyDescent="0.25">
      <c r="A137" s="14"/>
      <c r="B137" s="25"/>
    </row>
    <row r="138" spans="1:3" ht="75" x14ac:dyDescent="0.25">
      <c r="A138" s="27">
        <f>Pooling_Month</f>
        <v>45658</v>
      </c>
      <c r="B138" s="20" t="s">
        <v>140</v>
      </c>
    </row>
    <row r="139" spans="1:3" x14ac:dyDescent="0.25">
      <c r="A139" s="31" t="s">
        <v>60</v>
      </c>
      <c r="B139" s="32">
        <v>0</v>
      </c>
    </row>
    <row r="140" spans="1:3" ht="15.75" customHeight="1" x14ac:dyDescent="0.25"/>
    <row r="141" spans="1:3" ht="14.25" hidden="1" customHeight="1" x14ac:dyDescent="0.25">
      <c r="C141" t="s">
        <v>197</v>
      </c>
    </row>
    <row r="142" spans="1:3" ht="30" hidden="1" x14ac:dyDescent="0.25">
      <c r="A142" s="40" t="s">
        <v>215</v>
      </c>
      <c r="B142" s="95">
        <f>B125-B123</f>
        <v>4.5170000000000002E-3</v>
      </c>
    </row>
    <row r="143" spans="1:3" hidden="1" x14ac:dyDescent="0.25">
      <c r="A143" s="93" t="s">
        <v>214</v>
      </c>
      <c r="B143" s="95">
        <f>B135</f>
        <v>0</v>
      </c>
    </row>
    <row r="144" spans="1:3" hidden="1" x14ac:dyDescent="0.25">
      <c r="A144" s="91" t="s">
        <v>212</v>
      </c>
      <c r="B144" s="95">
        <f>SUM(B142:B143)</f>
        <v>4.5170000000000002E-3</v>
      </c>
      <c r="C144" t="s">
        <v>202</v>
      </c>
    </row>
    <row r="145" spans="1:4" hidden="1" x14ac:dyDescent="0.25">
      <c r="A145" s="92" t="s">
        <v>207</v>
      </c>
      <c r="B145" s="95">
        <f>B125</f>
        <v>4.5170000000000002E-3</v>
      </c>
      <c r="C145" t="s">
        <v>198</v>
      </c>
    </row>
    <row r="146" spans="1:4" hidden="1" x14ac:dyDescent="0.25">
      <c r="A146" t="s">
        <v>84</v>
      </c>
      <c r="B146" s="95">
        <f>AVERAGE(B144:B145)</f>
        <v>4.5170000000000002E-3</v>
      </c>
    </row>
    <row r="147" spans="1:4" hidden="1" x14ac:dyDescent="0.25">
      <c r="B147" s="95"/>
    </row>
    <row r="148" spans="1:4" hidden="1" x14ac:dyDescent="0.25">
      <c r="A148" s="92" t="s">
        <v>213</v>
      </c>
      <c r="B148" s="95">
        <f>B113</f>
        <v>0</v>
      </c>
    </row>
    <row r="149" spans="1:4" hidden="1" x14ac:dyDescent="0.25">
      <c r="A149" s="91" t="s">
        <v>209</v>
      </c>
      <c r="B149" s="25">
        <f>B101</f>
        <v>0</v>
      </c>
    </row>
    <row r="150" spans="1:4" hidden="1" x14ac:dyDescent="0.25">
      <c r="A150" s="40" t="s">
        <v>210</v>
      </c>
      <c r="B150" s="25">
        <f>AVERAGE(B144,B145,B148,B149)</f>
        <v>2.2585000000000001E-3</v>
      </c>
    </row>
    <row r="151" spans="1:4" hidden="1" x14ac:dyDescent="0.25">
      <c r="A151" s="40" t="s">
        <v>211</v>
      </c>
      <c r="B151" s="25">
        <f>AVERAGE(B144,B145,B148)</f>
        <v>3.0113333333333333E-3</v>
      </c>
    </row>
    <row r="156" spans="1:4" x14ac:dyDescent="0.25">
      <c r="D156" s="218"/>
    </row>
  </sheetData>
  <sheetProtection algorithmName="SHA-512" hashValue="J2+2YQ2PGgwISAnmO8ZBbm927gxMuHGMWsS/+H8rayaRd8Luw9X38s1u9aChgVn3wx3lejmQP3J3xgcSbgiFQw==" saltValue="Sm574VdpD8VzKa8nuze83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I51"/>
  <sheetViews>
    <sheetView tabSelected="1" topLeftCell="A6" zoomScale="70" zoomScaleNormal="70" workbookViewId="0">
      <selection activeCell="I6" sqref="I6"/>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74" t="s">
        <v>59</v>
      </c>
      <c r="B1" s="274"/>
      <c r="C1" s="274"/>
      <c r="D1" s="274"/>
      <c r="E1" s="274"/>
      <c r="F1" s="274"/>
      <c r="G1" s="274"/>
      <c r="H1" s="274"/>
      <c r="I1" s="274"/>
    </row>
    <row r="2" spans="1:9" ht="23.25" x14ac:dyDescent="0.35">
      <c r="A2" s="273">
        <f>'Quota Price Estimator'!B4</f>
        <v>45658</v>
      </c>
      <c r="B2" s="273"/>
      <c r="C2" s="273"/>
      <c r="D2" s="273"/>
      <c r="E2" s="273"/>
      <c r="F2" s="273"/>
      <c r="G2" s="273"/>
      <c r="H2" s="273"/>
      <c r="I2" s="273"/>
    </row>
    <row r="3" spans="1:9" ht="19.5" thickBot="1" x14ac:dyDescent="0.35">
      <c r="A3" s="26"/>
      <c r="B3" s="6"/>
      <c r="C3" s="6"/>
      <c r="D3" s="6"/>
      <c r="E3" s="6"/>
      <c r="F3" s="6"/>
      <c r="G3" s="6"/>
      <c r="H3" s="6"/>
      <c r="I3" s="6"/>
    </row>
    <row r="4" spans="1:9" ht="215.1" customHeight="1" thickBot="1" x14ac:dyDescent="0.35">
      <c r="A4" s="268" t="s">
        <v>83</v>
      </c>
      <c r="B4" s="269"/>
      <c r="C4" s="269"/>
      <c r="D4" s="269"/>
      <c r="E4" s="269"/>
      <c r="F4" s="269"/>
      <c r="G4" s="269"/>
      <c r="H4" s="269"/>
      <c r="I4" s="270"/>
    </row>
    <row r="5" spans="1:9" ht="19.5" customHeight="1" thickBot="1" x14ac:dyDescent="0.35">
      <c r="A5" s="26"/>
      <c r="B5" s="6"/>
      <c r="C5" s="6"/>
      <c r="D5" s="6"/>
      <c r="E5" s="6"/>
      <c r="F5" s="6"/>
      <c r="G5" s="6"/>
      <c r="H5" s="6"/>
      <c r="I5" s="6"/>
    </row>
    <row r="6" spans="1:9" ht="72.75" customHeight="1" thickBot="1" x14ac:dyDescent="0.4">
      <c r="A6" s="271" t="s">
        <v>82</v>
      </c>
      <c r="B6" s="272"/>
      <c r="C6" s="272"/>
      <c r="D6" s="272"/>
      <c r="E6" s="272"/>
      <c r="F6" s="272"/>
      <c r="G6" s="272"/>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22.33718430498736</v>
      </c>
      <c r="C9" s="81">
        <f>QuotaButterfatPrice</f>
        <v>2.9283063600000001</v>
      </c>
      <c r="D9" s="82">
        <f>QuotaSkimPrice</f>
        <v>0.12526540979261511</v>
      </c>
      <c r="E9" s="82"/>
      <c r="F9" s="83"/>
      <c r="G9" s="84">
        <f>(QuotaButterfatPrice*PoolButterfatPercent*100)+(QuotaSkimPrice*(100-PoolButterfatPercent*100))</f>
        <v>23.716841060679435</v>
      </c>
      <c r="H9" s="1"/>
      <c r="I9" s="1"/>
    </row>
    <row r="10" spans="1:9" ht="15.75" x14ac:dyDescent="0.25">
      <c r="A10" s="85" t="s">
        <v>5</v>
      </c>
      <c r="B10" s="222">
        <f>ExcessButterfatPrice*3.5+ExcessSkimPrice*96.5</f>
        <v>20.83718430498736</v>
      </c>
      <c r="C10" s="86">
        <f>ExcessButterfatPrice</f>
        <v>2.9133063600000004</v>
      </c>
      <c r="D10" s="87">
        <f>ExcessSkimPrice</f>
        <v>0.11026540979261512</v>
      </c>
      <c r="E10" s="87"/>
      <c r="F10" s="88"/>
      <c r="G10" s="89">
        <f>(ExcessButterfatPrice*PoolButterfatPercent*100)+(ExcessSkimPrice*(100-PoolButterfatPercent*100))</f>
        <v>22.216841060679439</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87</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100</v>
      </c>
      <c r="B25" s="114"/>
      <c r="F25" s="102" t="s">
        <v>112</v>
      </c>
      <c r="G25" s="103"/>
    </row>
    <row r="26" spans="1:9" ht="15.75" x14ac:dyDescent="0.25">
      <c r="A26" t="s">
        <v>113</v>
      </c>
      <c r="B26" s="115"/>
      <c r="F26" s="104"/>
      <c r="G26" s="105"/>
    </row>
    <row r="27" spans="1:9" ht="15.75" x14ac:dyDescent="0.25">
      <c r="F27" s="104" t="s">
        <v>99</v>
      </c>
      <c r="G27" s="106">
        <f>G20</f>
        <v>0</v>
      </c>
    </row>
    <row r="28" spans="1:9" ht="16.5" customHeight="1" x14ac:dyDescent="0.25">
      <c r="A28" t="s">
        <v>88</v>
      </c>
      <c r="B28" s="114"/>
      <c r="F28" s="104" t="s">
        <v>101</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89</v>
      </c>
      <c r="B34" s="115"/>
      <c r="F34" s="104" t="s">
        <v>102</v>
      </c>
      <c r="G34" s="106">
        <f>-ROUND(($G$15/100)*B28+B34+B35,2)</f>
        <v>0</v>
      </c>
    </row>
    <row r="35" spans="1:7" ht="15.75" x14ac:dyDescent="0.25">
      <c r="A35" t="s">
        <v>90</v>
      </c>
      <c r="B35" s="115"/>
      <c r="F35" s="104" t="s">
        <v>103</v>
      </c>
      <c r="G35" s="106">
        <f>-ROUND(($G$15/100)*B37,2)</f>
        <v>0</v>
      </c>
    </row>
    <row r="36" spans="1:7" ht="15.75" x14ac:dyDescent="0.25">
      <c r="F36" s="104" t="s">
        <v>104</v>
      </c>
      <c r="G36" s="106">
        <f>-ROUND(IF(($G$15/100)*B39&gt;B41,B41,IF(($G$15/100)*B39&lt;B40,B40,($G$15/100)*B39)),2)</f>
        <v>-50</v>
      </c>
    </row>
    <row r="37" spans="1:7" ht="15.75" x14ac:dyDescent="0.25">
      <c r="A37" t="s">
        <v>91</v>
      </c>
      <c r="B37" s="255">
        <v>2.1499999999999998E-2</v>
      </c>
      <c r="F37" s="104" t="s">
        <v>94</v>
      </c>
      <c r="G37" s="106">
        <f>-ROUND(($G$15/100)*B43,2)</f>
        <v>0</v>
      </c>
    </row>
    <row r="38" spans="1:7" ht="15.75" x14ac:dyDescent="0.25">
      <c r="B38" s="243"/>
      <c r="F38" s="104" t="s">
        <v>105</v>
      </c>
      <c r="G38" s="106">
        <f>-ROUND(($G$15/100)*B45+B46,2)</f>
        <v>0</v>
      </c>
    </row>
    <row r="39" spans="1:7" ht="15.75" x14ac:dyDescent="0.25">
      <c r="A39" s="40" t="s">
        <v>93</v>
      </c>
      <c r="B39" s="242">
        <v>0.14000000000000001</v>
      </c>
      <c r="F39" s="107" t="s">
        <v>106</v>
      </c>
      <c r="G39" s="108">
        <f>-ROUND(($G$15/100)*B48+B49,2)</f>
        <v>0</v>
      </c>
    </row>
    <row r="40" spans="1:7" ht="15.75" x14ac:dyDescent="0.25">
      <c r="A40" t="s">
        <v>92</v>
      </c>
      <c r="B40" s="244">
        <v>50</v>
      </c>
      <c r="F40" s="102" t="s">
        <v>107</v>
      </c>
      <c r="G40" s="109">
        <f>SUM(G27:G39)</f>
        <v>-50</v>
      </c>
    </row>
    <row r="41" spans="1:7" ht="15.75" x14ac:dyDescent="0.25">
      <c r="A41" t="s">
        <v>92</v>
      </c>
      <c r="B41" s="244">
        <v>1050</v>
      </c>
      <c r="F41" s="107" t="s">
        <v>108</v>
      </c>
      <c r="G41" s="108">
        <f>-B51</f>
        <v>0</v>
      </c>
    </row>
    <row r="42" spans="1:7" ht="15.75" x14ac:dyDescent="0.25">
      <c r="B42" s="243"/>
      <c r="F42" s="104" t="s">
        <v>109</v>
      </c>
      <c r="G42" s="106">
        <f>SUM(G40:G41)</f>
        <v>-50</v>
      </c>
    </row>
    <row r="43" spans="1:7" x14ac:dyDescent="0.25">
      <c r="A43" t="s">
        <v>95</v>
      </c>
      <c r="B43" s="242">
        <v>0.15</v>
      </c>
      <c r="F43" s="110"/>
      <c r="G43" s="111"/>
    </row>
    <row r="44" spans="1:7" x14ac:dyDescent="0.25">
      <c r="F44" s="110"/>
      <c r="G44" s="111"/>
    </row>
    <row r="45" spans="1:7" x14ac:dyDescent="0.25">
      <c r="A45" t="s">
        <v>96</v>
      </c>
      <c r="B45" s="114"/>
      <c r="F45" s="112" t="s">
        <v>111</v>
      </c>
      <c r="G45" s="113" t="str">
        <f>IF(G15=0,"",ROUND(G40/(G15/100),4))</f>
        <v/>
      </c>
    </row>
    <row r="46" spans="1:7" x14ac:dyDescent="0.25">
      <c r="A46" t="s">
        <v>97</v>
      </c>
      <c r="B46" s="115"/>
    </row>
    <row r="48" spans="1:7" x14ac:dyDescent="0.25">
      <c r="A48" t="s">
        <v>114</v>
      </c>
      <c r="B48" s="114"/>
    </row>
    <row r="49" spans="1:2" x14ac:dyDescent="0.25">
      <c r="A49" t="s">
        <v>98</v>
      </c>
      <c r="B49" s="115"/>
    </row>
    <row r="51" spans="1:2" x14ac:dyDescent="0.25">
      <c r="A51" t="s">
        <v>110</v>
      </c>
      <c r="B51" s="115"/>
    </row>
  </sheetData>
  <sheetProtection algorithmName="SHA-512" hashValue="ZRjIvL7kcNDks4SYmwQIHFjH+/ZMVhRGh4Sdm/Lu4K5M8hkHh72pMdyAbTudyenIKd5Q5crcUqm3n+f91pPBYA==" saltValue="Q/685PXUu1vFweLruhAYgA==" spinCount="100000" sheet="1" objects="1" scenarios="1"/>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91"/>
  <sheetViews>
    <sheetView topLeftCell="A23" workbookViewId="0">
      <selection activeCell="C47" sqref="C47"/>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8" customWidth="1"/>
    <col min="15" max="15" width="13.5703125" style="238" customWidth="1"/>
    <col min="16" max="16" width="13.85546875" style="238" customWidth="1"/>
    <col min="17" max="16384" width="9.140625" style="1"/>
  </cols>
  <sheetData>
    <row r="1" spans="1:13" ht="21" x14ac:dyDescent="0.35">
      <c r="A1" s="9" t="s">
        <v>192</v>
      </c>
      <c r="B1" s="7"/>
      <c r="C1" s="7"/>
      <c r="D1" s="7"/>
      <c r="E1" s="7"/>
      <c r="F1" s="7"/>
      <c r="G1" s="7"/>
      <c r="H1" s="7"/>
      <c r="I1" s="7"/>
    </row>
    <row r="2" spans="1:13" ht="18.75" x14ac:dyDescent="0.3">
      <c r="A2" s="259">
        <f>Pooling_Month</f>
        <v>45658</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60">
        <v>45658</v>
      </c>
      <c r="C4" s="123"/>
      <c r="D4" s="123"/>
      <c r="E4" s="123"/>
      <c r="F4" s="123"/>
      <c r="G4" s="123"/>
      <c r="H4" s="123"/>
      <c r="I4" s="124"/>
    </row>
    <row r="5" spans="1:13" ht="15.75" x14ac:dyDescent="0.25">
      <c r="A5" s="125" t="s">
        <v>1</v>
      </c>
      <c r="B5" s="126">
        <f>DAY(DATE(YEAR(Pooling_Month),MONTH(Pooling_Month)+1,0))</f>
        <v>31</v>
      </c>
      <c r="C5" s="126"/>
      <c r="D5" s="126"/>
      <c r="E5" s="126"/>
      <c r="F5" s="126"/>
      <c r="G5" s="126"/>
      <c r="H5" s="126"/>
      <c r="I5" s="127"/>
    </row>
    <row r="6" spans="1:13" ht="15.75" x14ac:dyDescent="0.25">
      <c r="A6" s="128" t="s">
        <v>50</v>
      </c>
      <c r="B6" s="129">
        <f>PoolDailyProd</f>
        <v>526939</v>
      </c>
      <c r="C6" s="126"/>
      <c r="D6" s="126"/>
      <c r="E6" s="126"/>
      <c r="F6" s="126"/>
      <c r="G6" s="126"/>
      <c r="H6" s="126"/>
      <c r="I6" s="127"/>
    </row>
    <row r="7" spans="1:13" ht="15.75" x14ac:dyDescent="0.25">
      <c r="A7" s="128" t="s">
        <v>15</v>
      </c>
      <c r="B7" s="130">
        <f>PoolButterfatPercent</f>
        <v>3.9922000000000006E-2</v>
      </c>
      <c r="C7" s="126"/>
      <c r="D7" s="126"/>
      <c r="E7" s="126"/>
      <c r="F7" s="126"/>
      <c r="G7" s="126"/>
      <c r="H7" s="126"/>
      <c r="I7" s="127"/>
    </row>
    <row r="8" spans="1:13" ht="15.75" x14ac:dyDescent="0.25">
      <c r="A8" s="128" t="s">
        <v>51</v>
      </c>
      <c r="B8" s="130">
        <f>PoolOverQuotaProdPerc</f>
        <v>1.9424E-2</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16017815.842784001</v>
      </c>
      <c r="C11" s="135">
        <f>C13-C12</f>
        <v>639463.24407562288</v>
      </c>
      <c r="D11" s="135">
        <f>D13-D12</f>
        <v>15378352.598708378</v>
      </c>
      <c r="E11" s="135"/>
      <c r="F11" s="126"/>
      <c r="G11" s="126"/>
      <c r="H11" s="126"/>
      <c r="I11" s="127"/>
    </row>
    <row r="12" spans="1:13" ht="15.75" x14ac:dyDescent="0.25">
      <c r="A12" s="136" t="s">
        <v>18</v>
      </c>
      <c r="B12" s="137">
        <f>B13*PoolOverQuotaProdPerc</f>
        <v>317293.15721600002</v>
      </c>
      <c r="C12" s="137">
        <f>B12*PoolButterfatPercent</f>
        <v>12666.977422377155</v>
      </c>
      <c r="D12" s="137">
        <f>B12-C12</f>
        <v>304626.17979362287</v>
      </c>
      <c r="E12" s="135"/>
      <c r="F12" s="126"/>
      <c r="G12" s="126"/>
      <c r="H12" s="126"/>
      <c r="I12" s="127"/>
    </row>
    <row r="13" spans="1:13" ht="15.75" x14ac:dyDescent="0.25">
      <c r="A13" s="134" t="s">
        <v>19</v>
      </c>
      <c r="B13" s="135">
        <f>PoolDailyProd*DaysPerMonth</f>
        <v>16335109</v>
      </c>
      <c r="C13" s="135">
        <f>B13*PoolButterfatPercent</f>
        <v>652130.22149800009</v>
      </c>
      <c r="D13" s="135">
        <f>B13-C13</f>
        <v>15682978.778502</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14997020.846248347</v>
      </c>
      <c r="C16" s="135">
        <f>Butterfat_Production*EstClsIBFUtPerc</f>
        <v>364801.64590598125</v>
      </c>
      <c r="D16" s="135">
        <f>Skim_Production*EstClsISkimUtPerc</f>
        <v>14632219.200342366</v>
      </c>
      <c r="E16" s="140"/>
      <c r="F16" s="126"/>
      <c r="G16" s="141" t="s">
        <v>21</v>
      </c>
      <c r="H16" s="142">
        <f>EstClsIBFUtPerc</f>
        <v>0.55940000000000001</v>
      </c>
      <c r="I16" s="143">
        <f>EstClsISkimUtPerc</f>
        <v>0.93300000000000005</v>
      </c>
      <c r="M16" s="5"/>
    </row>
    <row r="17" spans="1:14" ht="15.75" x14ac:dyDescent="0.25">
      <c r="A17" s="134" t="s">
        <v>22</v>
      </c>
      <c r="B17" s="135">
        <f>SUM(C17:D17)</f>
        <v>67104.199792144209</v>
      </c>
      <c r="C17" s="135">
        <f>Butterfat_Production*EstClsIIBFUtPerc</f>
        <v>67104.199792144209</v>
      </c>
      <c r="D17" s="135">
        <f>Skim_Production*EstClsIISkimUTPerc</f>
        <v>0</v>
      </c>
      <c r="E17" s="140"/>
      <c r="F17" s="126"/>
      <c r="G17" s="141" t="s">
        <v>22</v>
      </c>
      <c r="H17" s="142">
        <f>EstClsIIBFUtPerc</f>
        <v>0.10290000000000001</v>
      </c>
      <c r="I17" s="143">
        <f>EstClsIISkimUTPerc</f>
        <v>0</v>
      </c>
      <c r="M17" s="5"/>
    </row>
    <row r="18" spans="1:14" ht="15.75" x14ac:dyDescent="0.25">
      <c r="A18" s="136" t="s">
        <v>23</v>
      </c>
      <c r="B18" s="137">
        <f>SUM(C18:D18)</f>
        <v>1270983.9539595086</v>
      </c>
      <c r="C18" s="137">
        <f>Butterfat_Production*EstClsIIIBFUtPerc</f>
        <v>220224.37579987463</v>
      </c>
      <c r="D18" s="137">
        <f>Skim_Production*EstClsIIISkimUtPerc</f>
        <v>1050759.578159634</v>
      </c>
      <c r="E18" s="140"/>
      <c r="F18" s="126"/>
      <c r="G18" s="144" t="s">
        <v>23</v>
      </c>
      <c r="H18" s="145">
        <f>EstClsIIIBFUtPerc</f>
        <v>0.3377</v>
      </c>
      <c r="I18" s="146">
        <f>EstClsIIISkimUtPerc</f>
        <v>6.7000000000000004E-2</v>
      </c>
      <c r="M18" s="5"/>
    </row>
    <row r="19" spans="1:14" ht="15.75" x14ac:dyDescent="0.25">
      <c r="A19" s="131"/>
      <c r="B19" s="147">
        <f>SUM(B16:B18)</f>
        <v>16335109</v>
      </c>
      <c r="C19" s="147">
        <f>SUM(C16:C18)</f>
        <v>652130.22149800009</v>
      </c>
      <c r="D19" s="147">
        <f>SUM(D16:D18)</f>
        <v>15682978.778502</v>
      </c>
      <c r="E19" s="126"/>
      <c r="F19" s="126"/>
      <c r="G19" s="148" t="s">
        <v>44</v>
      </c>
      <c r="H19" s="149">
        <f>SUM(H16:H18)</f>
        <v>1</v>
      </c>
      <c r="I19" s="150">
        <f>SUM(I16:I18)</f>
        <v>1</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3118702.2344213091</v>
      </c>
      <c r="C22" s="159">
        <f>C16*MTClassIButterfatPrice</f>
        <v>1084299.9321263481</v>
      </c>
      <c r="D22" s="159">
        <f>D16*MTClassISkimPrice</f>
        <v>2034402.3022949609</v>
      </c>
      <c r="E22" s="159"/>
      <c r="F22" s="160" t="s">
        <v>21</v>
      </c>
      <c r="G22" s="219">
        <v>23.82</v>
      </c>
      <c r="H22" s="162">
        <v>2.9723000000000002</v>
      </c>
      <c r="I22" s="220">
        <v>0.13903579999999999</v>
      </c>
    </row>
    <row r="23" spans="1:14" ht="15.75" x14ac:dyDescent="0.25">
      <c r="A23" s="158" t="s">
        <v>22</v>
      </c>
      <c r="B23" s="159">
        <f>SUM(C23:D23)</f>
        <v>198212.38534603559</v>
      </c>
      <c r="C23" s="159">
        <f>C17*MTClassIIButterfatPrice</f>
        <v>198212.38534603559</v>
      </c>
      <c r="D23" s="159">
        <f>D17*MTClassIISkimPrice</f>
        <v>0</v>
      </c>
      <c r="E23" s="159"/>
      <c r="F23" s="160" t="s">
        <v>22</v>
      </c>
      <c r="G23" s="219">
        <v>21.532299999999999</v>
      </c>
      <c r="H23" s="162">
        <v>2.9538000000000002</v>
      </c>
      <c r="I23" s="220">
        <v>0.11600000000000001</v>
      </c>
    </row>
    <row r="24" spans="1:14" ht="15.75" x14ac:dyDescent="0.25">
      <c r="A24" s="164" t="s">
        <v>23</v>
      </c>
      <c r="B24" s="165">
        <f>SUM(C24:D24)</f>
        <v>735373.14149315737</v>
      </c>
      <c r="C24" s="165">
        <f>C18*MTClassIIIButterfatPrice</f>
        <v>626934.75302708312</v>
      </c>
      <c r="D24" s="165">
        <f>D18*MTClassIIISkimPrice</f>
        <v>108438.38846607423</v>
      </c>
      <c r="E24" s="159"/>
      <c r="F24" s="160" t="s">
        <v>23</v>
      </c>
      <c r="G24" s="219">
        <v>19.922599999999999</v>
      </c>
      <c r="H24" s="162">
        <v>2.8468</v>
      </c>
      <c r="I24" s="220">
        <v>0.1032</v>
      </c>
    </row>
    <row r="25" spans="1:14" ht="15.75" x14ac:dyDescent="0.25">
      <c r="A25" s="158" t="s">
        <v>120</v>
      </c>
      <c r="B25" s="159">
        <f>SUM(B22:B24)</f>
        <v>4052287.761260502</v>
      </c>
      <c r="C25" s="159">
        <f>SUM(C22:C24)</f>
        <v>1909447.070499467</v>
      </c>
      <c r="D25" s="159">
        <f>SUM(D22:D24)</f>
        <v>2142840.6907610353</v>
      </c>
      <c r="E25" s="159"/>
      <c r="F25" s="126"/>
      <c r="G25" s="151"/>
      <c r="H25" s="151"/>
      <c r="I25" s="152"/>
    </row>
    <row r="26" spans="1:14" ht="15.75" x14ac:dyDescent="0.25">
      <c r="A26" s="158"/>
      <c r="B26" s="159"/>
      <c r="C26" s="159"/>
      <c r="D26" s="159"/>
      <c r="E26" s="159"/>
      <c r="F26" s="126"/>
      <c r="G26" s="154" t="s">
        <v>115</v>
      </c>
      <c r="H26" s="154" t="s">
        <v>116</v>
      </c>
      <c r="I26" s="152"/>
    </row>
    <row r="27" spans="1:14" ht="15.75" x14ac:dyDescent="0.25">
      <c r="A27" s="166" t="s">
        <v>125</v>
      </c>
      <c r="B27" s="159"/>
      <c r="C27" s="159"/>
      <c r="D27" s="161">
        <f>AVERAGE(G27:H27)</f>
        <v>-53250</v>
      </c>
      <c r="E27" s="159"/>
      <c r="F27" s="126"/>
      <c r="G27" s="167">
        <v>-40500</v>
      </c>
      <c r="H27" s="168">
        <v>-66000</v>
      </c>
      <c r="I27" s="152"/>
      <c r="K27"/>
    </row>
    <row r="28" spans="1:14" ht="15.75" x14ac:dyDescent="0.25">
      <c r="A28" s="158" t="s">
        <v>122</v>
      </c>
      <c r="B28" s="159"/>
      <c r="C28" s="159"/>
      <c r="D28" s="159">
        <f>SurplusAdjustmentPckgClassI</f>
        <v>-129625.31999999999</v>
      </c>
      <c r="E28" s="159"/>
      <c r="F28" s="126"/>
      <c r="G28" s="151"/>
      <c r="H28" s="151"/>
      <c r="I28" s="152"/>
      <c r="L28" s="232"/>
      <c r="M28" s="232"/>
      <c r="N28" s="232"/>
    </row>
    <row r="29" spans="1:14" ht="15.75" x14ac:dyDescent="0.25">
      <c r="A29" s="164" t="s">
        <v>133</v>
      </c>
      <c r="B29" s="169"/>
      <c r="C29" s="169"/>
      <c r="D29" s="165">
        <f>SurplusAdjustmentBulkSales</f>
        <v>0</v>
      </c>
      <c r="E29" s="159"/>
      <c r="F29" s="126"/>
      <c r="G29" s="151"/>
      <c r="H29" s="151"/>
      <c r="I29" s="152"/>
      <c r="L29" s="232"/>
      <c r="M29" s="232"/>
      <c r="N29" s="232"/>
    </row>
    <row r="30" spans="1:14" ht="15.75" x14ac:dyDescent="0.25">
      <c r="A30" s="166" t="s">
        <v>35</v>
      </c>
      <c r="B30" s="170">
        <f>C30+D30</f>
        <v>3869412.4412605022</v>
      </c>
      <c r="C30" s="170">
        <f>SUM(C25:C29)</f>
        <v>1909447.070499467</v>
      </c>
      <c r="D30" s="170">
        <f>SUM(D25:D29)</f>
        <v>1959965.3707610352</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2.9280150000000003</v>
      </c>
      <c r="D33" s="175">
        <f>D30/Skim_Production</f>
        <v>0.12497404979261512</v>
      </c>
      <c r="E33" s="176"/>
      <c r="F33" s="160" t="s">
        <v>38</v>
      </c>
      <c r="G33" s="126"/>
      <c r="H33" s="175">
        <f>C30/Butterfat_Production</f>
        <v>2.9280150000000003</v>
      </c>
      <c r="I33" s="163">
        <f>D30/Skim_Production</f>
        <v>0.12497404979261512</v>
      </c>
    </row>
    <row r="34" spans="1:9" ht="15.75" x14ac:dyDescent="0.25">
      <c r="A34" s="164" t="s">
        <v>52</v>
      </c>
      <c r="B34" s="169"/>
      <c r="C34" s="177">
        <f>(1.5/100)*B8</f>
        <v>2.9136E-4</v>
      </c>
      <c r="D34" s="177">
        <f>(1.5/100)*B8</f>
        <v>2.9136E-4</v>
      </c>
      <c r="E34" s="178"/>
      <c r="F34" s="179" t="s">
        <v>53</v>
      </c>
      <c r="G34" s="169"/>
      <c r="H34" s="177">
        <f>-(1.5/100)*(1-B8)</f>
        <v>-1.470864E-2</v>
      </c>
      <c r="I34" s="180">
        <f>-(1.5/100)*(1-B8)</f>
        <v>-1.470864E-2</v>
      </c>
    </row>
    <row r="35" spans="1:9" ht="16.5" thickBot="1" x14ac:dyDescent="0.3">
      <c r="A35" s="181" t="s">
        <v>45</v>
      </c>
      <c r="B35" s="182"/>
      <c r="C35" s="183">
        <f>SUM(C33:C34)</f>
        <v>2.9283063600000001</v>
      </c>
      <c r="D35" s="183">
        <f>SUM(D33:D34)</f>
        <v>0.12526540979261511</v>
      </c>
      <c r="E35" s="184"/>
      <c r="F35" s="185" t="s">
        <v>46</v>
      </c>
      <c r="G35" s="182"/>
      <c r="H35" s="183">
        <f>SUM(H33:H34)</f>
        <v>2.9133063600000004</v>
      </c>
      <c r="I35" s="186">
        <f>SUM(I33:I34)</f>
        <v>0.11026540979261512</v>
      </c>
    </row>
    <row r="36" spans="1:9" x14ac:dyDescent="0.25">
      <c r="G36" s="90"/>
      <c r="H36" s="90"/>
      <c r="I36" s="90"/>
    </row>
    <row r="37" spans="1:9" x14ac:dyDescent="0.25">
      <c r="A37" s="3"/>
      <c r="G37" s="90"/>
      <c r="H37" s="90"/>
      <c r="I37" s="90"/>
    </row>
    <row r="38" spans="1:9" ht="15.75" thickBot="1" x14ac:dyDescent="0.3"/>
    <row r="39" spans="1:9" ht="15.75" x14ac:dyDescent="0.25">
      <c r="A39" s="119" t="s">
        <v>124</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126</v>
      </c>
      <c r="B41" s="188" t="s">
        <v>10</v>
      </c>
      <c r="C41" s="188" t="s">
        <v>11</v>
      </c>
      <c r="D41" s="188" t="s">
        <v>12</v>
      </c>
      <c r="E41" s="133"/>
      <c r="F41" s="126"/>
      <c r="G41" s="126"/>
      <c r="H41" s="133" t="s">
        <v>26</v>
      </c>
      <c r="I41" s="139" t="s">
        <v>27</v>
      </c>
    </row>
    <row r="42" spans="1:9" ht="15.75" x14ac:dyDescent="0.25">
      <c r="A42" s="189"/>
      <c r="B42" s="190">
        <f>SUM(C42:D42)</f>
        <v>4546333.7563432567</v>
      </c>
      <c r="C42" s="190">
        <f>EstClsIPckgSurpPoolBFUtPerc*Butterfat_Production</f>
        <v>111924.45778548026</v>
      </c>
      <c r="D42" s="190">
        <f>EstClsIPckgSurpPoolSkimUtPerc*Skim_Production</f>
        <v>4434409.298557776</v>
      </c>
      <c r="E42" s="126"/>
      <c r="G42" s="211" t="s">
        <v>130</v>
      </c>
      <c r="H42" s="142">
        <f>EstClsIPckgSurpPoolBFUtPerc</f>
        <v>0.171629</v>
      </c>
      <c r="I42" s="143">
        <f>EstClsIPckgSurpPoolSkimUtPerc</f>
        <v>0.28275299999999998</v>
      </c>
    </row>
    <row r="43" spans="1:9" ht="15.75" x14ac:dyDescent="0.25">
      <c r="A43" s="158"/>
      <c r="B43" s="192"/>
      <c r="C43" s="192"/>
      <c r="D43" s="192"/>
      <c r="E43" s="126"/>
      <c r="F43" s="160"/>
      <c r="G43" s="126"/>
      <c r="H43" s="149"/>
      <c r="I43" s="150"/>
    </row>
    <row r="44" spans="1:9" ht="31.5" x14ac:dyDescent="0.25">
      <c r="A44" s="193" t="s">
        <v>127</v>
      </c>
      <c r="B44" s="133" t="s">
        <v>10</v>
      </c>
      <c r="C44" s="192"/>
      <c r="D44" s="192"/>
      <c r="E44" s="126"/>
      <c r="F44" s="156" t="s">
        <v>121</v>
      </c>
      <c r="G44" s="126"/>
      <c r="H44" s="149"/>
      <c r="I44" s="150"/>
    </row>
    <row r="45" spans="1:9" ht="15.75" x14ac:dyDescent="0.25">
      <c r="A45" s="194" t="s">
        <v>117</v>
      </c>
      <c r="B45" s="192">
        <f>ROUND(F45*B42,0)</f>
        <v>1807572</v>
      </c>
      <c r="C45" s="192"/>
      <c r="D45" s="192"/>
      <c r="E45" s="126"/>
      <c r="F45" s="142">
        <f>PercClsIPckgSurptoContigStates</f>
        <v>0.39758900000000003</v>
      </c>
      <c r="G45" s="126"/>
      <c r="H45" s="149"/>
      <c r="I45" s="150"/>
    </row>
    <row r="46" spans="1:9" ht="15.75" x14ac:dyDescent="0.25">
      <c r="A46" s="194" t="s">
        <v>118</v>
      </c>
      <c r="B46" s="192">
        <f>B42-B45</f>
        <v>2738761.7563432567</v>
      </c>
      <c r="C46" s="192"/>
      <c r="D46" s="192"/>
      <c r="E46" s="126"/>
      <c r="F46" s="195">
        <f>1-F45</f>
        <v>0.60241100000000003</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128</v>
      </c>
      <c r="B49" s="192"/>
      <c r="C49" s="192"/>
      <c r="D49" s="192"/>
      <c r="E49" s="126"/>
      <c r="F49" s="212" t="s">
        <v>123</v>
      </c>
      <c r="G49" s="126"/>
      <c r="H49" s="149"/>
      <c r="I49" s="150"/>
    </row>
    <row r="50" spans="1:11" ht="15.75" x14ac:dyDescent="0.25">
      <c r="A50" s="194" t="s">
        <v>117</v>
      </c>
      <c r="B50" s="159">
        <f>ROUND(B45/100*F50,2)</f>
        <v>-46093.09</v>
      </c>
      <c r="C50" s="192"/>
      <c r="D50" s="192"/>
      <c r="E50" s="126"/>
      <c r="F50" s="197">
        <v>-2.5499999999999998</v>
      </c>
      <c r="G50" s="126"/>
      <c r="H50" s="149"/>
      <c r="I50" s="150"/>
    </row>
    <row r="51" spans="1:11" ht="15.75" x14ac:dyDescent="0.25">
      <c r="A51" s="198" t="s">
        <v>118</v>
      </c>
      <c r="B51" s="165">
        <f>ROUND(B46/100*F51,2)</f>
        <v>-83532.23</v>
      </c>
      <c r="C51" s="192"/>
      <c r="D51" s="192"/>
      <c r="E51" s="126"/>
      <c r="F51" s="197">
        <v>-3.05</v>
      </c>
      <c r="G51" s="126"/>
      <c r="H51" s="149"/>
      <c r="I51" s="150"/>
    </row>
    <row r="52" spans="1:11" ht="31.5" x14ac:dyDescent="0.25">
      <c r="A52" s="199" t="s">
        <v>129</v>
      </c>
      <c r="B52" s="170">
        <f>SUM(B50:B51)</f>
        <v>-129625.31999999999</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119</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131</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132</v>
      </c>
      <c r="B59" s="170">
        <f>(B56/100)*F59</f>
        <v>0</v>
      </c>
      <c r="C59" s="208"/>
      <c r="D59" s="192"/>
      <c r="E59" s="126"/>
      <c r="F59" s="161">
        <f>ROUND(K91,2)</f>
        <v>-1.24</v>
      </c>
      <c r="G59" s="167">
        <f>ROUND(L91,2)</f>
        <v>-1.24</v>
      </c>
      <c r="H59" s="168">
        <f>ROUND(J91,2)</f>
        <v>-1.24</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7" spans="1:16" hidden="1" x14ac:dyDescent="0.25">
      <c r="A67" s="1" t="s">
        <v>144</v>
      </c>
      <c r="B67" s="229">
        <f>B7</f>
        <v>3.9922000000000006E-2</v>
      </c>
    </row>
    <row r="68" spans="1:16" hidden="1" x14ac:dyDescent="0.25">
      <c r="A68" s="1" t="s">
        <v>146</v>
      </c>
      <c r="B68" s="230">
        <v>2.9468000000000001</v>
      </c>
      <c r="C68" s="1" t="s">
        <v>200</v>
      </c>
    </row>
    <row r="69" spans="1:16" hidden="1" x14ac:dyDescent="0.25">
      <c r="A69" s="1" t="s">
        <v>147</v>
      </c>
      <c r="B69" s="230">
        <v>0.1032</v>
      </c>
      <c r="C69" s="1" t="s">
        <v>200</v>
      </c>
    </row>
    <row r="70" spans="1:16" hidden="1" x14ac:dyDescent="0.25">
      <c r="A70" s="1" t="s">
        <v>145</v>
      </c>
      <c r="B70" s="230">
        <v>0.109</v>
      </c>
      <c r="C70" s="1" t="s">
        <v>200</v>
      </c>
    </row>
    <row r="71" spans="1:16" hidden="1" x14ac:dyDescent="0.25">
      <c r="B71" s="231"/>
    </row>
    <row r="72" spans="1:16" hidden="1" x14ac:dyDescent="0.25">
      <c r="A72" t="s">
        <v>148</v>
      </c>
      <c r="B72" s="231">
        <f>MTClassIIISkimPrice</f>
        <v>0.1032</v>
      </c>
    </row>
    <row r="73" spans="1:16" hidden="1" x14ac:dyDescent="0.25">
      <c r="A73" t="s">
        <v>149</v>
      </c>
      <c r="B73" s="231">
        <f>MTClassIIIButterfatPrice</f>
        <v>2.8468</v>
      </c>
    </row>
    <row r="74" spans="1:16" hidden="1" x14ac:dyDescent="0.25"/>
    <row r="75" spans="1:16" hidden="1" x14ac:dyDescent="0.25"/>
    <row r="76" spans="1:16" hidden="1" x14ac:dyDescent="0.25">
      <c r="A76" t="s">
        <v>150</v>
      </c>
      <c r="B76" s="232">
        <f>(100*B67*B68)+(100*(1-B67)*B70)</f>
        <v>22.229065160000005</v>
      </c>
    </row>
    <row r="77" spans="1:16" hidden="1" x14ac:dyDescent="0.25">
      <c r="A77" t="s">
        <v>151</v>
      </c>
      <c r="B77" s="232">
        <f>(100*B67*B73+100*(1-B67)*B72)</f>
        <v>21.27299992</v>
      </c>
    </row>
    <row r="78" spans="1:16" hidden="1" x14ac:dyDescent="0.25"/>
    <row r="79" spans="1:16" ht="60" hidden="1" x14ac:dyDescent="0.25">
      <c r="F79" s="233" t="s">
        <v>157</v>
      </c>
      <c r="G79" s="233" t="s">
        <v>158</v>
      </c>
      <c r="H79" s="233" t="s">
        <v>159</v>
      </c>
      <c r="J79" s="235" t="s">
        <v>160</v>
      </c>
      <c r="K79" s="240" t="s">
        <v>161</v>
      </c>
      <c r="L79" s="235" t="s">
        <v>162</v>
      </c>
      <c r="N79" s="239" t="s">
        <v>164</v>
      </c>
      <c r="O79" s="239" t="s">
        <v>163</v>
      </c>
      <c r="P79" s="239" t="s">
        <v>165</v>
      </c>
    </row>
    <row r="80" spans="1:16" hidden="1" x14ac:dyDescent="0.25">
      <c r="A80" t="s">
        <v>152</v>
      </c>
      <c r="B80" s="232">
        <f>B76</f>
        <v>22.229065160000005</v>
      </c>
    </row>
    <row r="81" spans="1:16" hidden="1" x14ac:dyDescent="0.25">
      <c r="A81" t="s">
        <v>154</v>
      </c>
      <c r="B81" s="232">
        <v>-2.2000000000000002</v>
      </c>
    </row>
    <row r="82" spans="1:16" hidden="1" x14ac:dyDescent="0.25">
      <c r="A82" s="245" t="s">
        <v>187</v>
      </c>
      <c r="B82" s="236">
        <f>-B77</f>
        <v>-21.27299992</v>
      </c>
    </row>
    <row r="83" spans="1:16" hidden="1" x14ac:dyDescent="0.25">
      <c r="A83" t="s">
        <v>153</v>
      </c>
      <c r="B83" s="232">
        <f>SUM(B80:B82)</f>
        <v>-1.2439347599999948</v>
      </c>
      <c r="F83" s="5">
        <f>N83/N$91</f>
        <v>1</v>
      </c>
      <c r="G83" s="5">
        <f>O83/O$91</f>
        <v>1</v>
      </c>
      <c r="H83" s="5">
        <f>P83/P$91</f>
        <v>1</v>
      </c>
      <c r="J83" s="232">
        <f>$B83*F83</f>
        <v>-1.2439347599999948</v>
      </c>
      <c r="K83" s="232">
        <f>$B83*G83</f>
        <v>-1.2439347599999948</v>
      </c>
      <c r="L83" s="232">
        <f>$B83*H83</f>
        <v>-1.2439347599999948</v>
      </c>
      <c r="N83" s="238">
        <f>O83-65000*2</f>
        <v>1088300</v>
      </c>
      <c r="O83" s="238">
        <v>1218300</v>
      </c>
      <c r="P83" s="238">
        <f>O83+65000*2</f>
        <v>1348300</v>
      </c>
    </row>
    <row r="84" spans="1:16" hidden="1" x14ac:dyDescent="0.25"/>
    <row r="85" spans="1:16" hidden="1" x14ac:dyDescent="0.25">
      <c r="A85" t="s">
        <v>188</v>
      </c>
      <c r="B85" s="234">
        <f>B77</f>
        <v>21.27299992</v>
      </c>
    </row>
    <row r="86" spans="1:16" hidden="1" x14ac:dyDescent="0.25">
      <c r="A86" t="s">
        <v>189</v>
      </c>
      <c r="B86" s="234">
        <v>0</v>
      </c>
    </row>
    <row r="87" spans="1:16" hidden="1" x14ac:dyDescent="0.25">
      <c r="A87" t="s">
        <v>155</v>
      </c>
      <c r="B87" s="234">
        <v>-5.43</v>
      </c>
    </row>
    <row r="88" spans="1:16" hidden="1" x14ac:dyDescent="0.25">
      <c r="A88" s="245" t="s">
        <v>187</v>
      </c>
      <c r="B88" s="236">
        <f>-B77</f>
        <v>-21.27299992</v>
      </c>
    </row>
    <row r="89" spans="1:16" hidden="1" x14ac:dyDescent="0.25">
      <c r="A89" t="s">
        <v>156</v>
      </c>
      <c r="B89" s="232">
        <f>SUM(B85:B88)</f>
        <v>-5.43</v>
      </c>
      <c r="F89" s="5">
        <f>N89/N$91</f>
        <v>0</v>
      </c>
      <c r="G89" s="5">
        <f t="shared" ref="G89:H89" si="0">O89/O$91</f>
        <v>0</v>
      </c>
      <c r="H89" s="5">
        <f t="shared" si="0"/>
        <v>0</v>
      </c>
      <c r="J89" s="236">
        <f>$B89*F89</f>
        <v>0</v>
      </c>
      <c r="K89" s="236">
        <f>$B89*G89</f>
        <v>0</v>
      </c>
      <c r="L89" s="236">
        <f>$B89*H89</f>
        <v>0</v>
      </c>
      <c r="N89" s="238">
        <v>0</v>
      </c>
      <c r="O89" s="238">
        <v>0</v>
      </c>
      <c r="P89" s="238">
        <v>0</v>
      </c>
    </row>
    <row r="90" spans="1:16" hidden="1" x14ac:dyDescent="0.25"/>
    <row r="91" spans="1:16" hidden="1" x14ac:dyDescent="0.25">
      <c r="F91" s="5">
        <f>SUM(F80:F89)</f>
        <v>1</v>
      </c>
      <c r="G91" s="5">
        <f>SUM(G80:G89)</f>
        <v>1</v>
      </c>
      <c r="H91" s="5">
        <f>SUM(H80:H89)</f>
        <v>1</v>
      </c>
      <c r="I91" s="237" t="s">
        <v>54</v>
      </c>
      <c r="J91" s="232">
        <f>SUM(J80:J89)</f>
        <v>-1.2439347599999948</v>
      </c>
      <c r="K91" s="241">
        <f>SUM(K80:K89)</f>
        <v>-1.2439347599999948</v>
      </c>
      <c r="L91" s="232">
        <f>SUM(L80:L89)</f>
        <v>-1.2439347599999948</v>
      </c>
      <c r="N91" s="238">
        <f>SUM(N80:N89)</f>
        <v>1088300</v>
      </c>
      <c r="O91" s="238">
        <f>SUM(O80:O89)</f>
        <v>1218300</v>
      </c>
      <c r="P91" s="238">
        <f>SUM(P80:P89)</f>
        <v>1348300</v>
      </c>
    </row>
  </sheetData>
  <sheetProtection algorithmName="SHA-512" hashValue="zV+oCKCPP6/9ArMVzn/r1iidbTpp/GLvj/oTMLTlVvz9YA1ibvCt1fJJVLS8i4UPkA/f7d+BkoNc0rFQudFzEg==" saltValue="yffJqceVoucon2IkGf9NUQ==" spinCount="100000" sheet="1" objects="1" scenarios="1"/>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B61"/>
  <sheetViews>
    <sheetView workbookViewId="0">
      <selection activeCell="A78" sqref="A78"/>
    </sheetView>
  </sheetViews>
  <sheetFormatPr defaultRowHeight="15" x14ac:dyDescent="0.25"/>
  <cols>
    <col min="1" max="1" width="85.5703125" customWidth="1"/>
    <col min="2" max="2" width="15.42578125" customWidth="1"/>
  </cols>
  <sheetData>
    <row r="1" spans="1:2" x14ac:dyDescent="0.25">
      <c r="A1" s="3" t="s">
        <v>74</v>
      </c>
    </row>
    <row r="2" spans="1:2" x14ac:dyDescent="0.25">
      <c r="A2" s="34">
        <f>Pooling_Month</f>
        <v>45658</v>
      </c>
    </row>
    <row r="4" spans="1:2" x14ac:dyDescent="0.25">
      <c r="B4" s="37" t="s">
        <v>60</v>
      </c>
    </row>
    <row r="5" spans="1:2" x14ac:dyDescent="0.25">
      <c r="A5" s="2" t="s">
        <v>50</v>
      </c>
      <c r="B5" s="33">
        <f>PoolDailyProd</f>
        <v>526939</v>
      </c>
    </row>
    <row r="6" spans="1:2" x14ac:dyDescent="0.25">
      <c r="A6" s="36" t="s">
        <v>77</v>
      </c>
      <c r="B6" s="32">
        <f>PoolButterfatPercent</f>
        <v>3.9922000000000006E-2</v>
      </c>
    </row>
    <row r="7" spans="1:2" x14ac:dyDescent="0.25">
      <c r="A7" s="2" t="s">
        <v>51</v>
      </c>
      <c r="B7" s="32">
        <f>PoolOverQuotaProdPerc</f>
        <v>1.9424E-2</v>
      </c>
    </row>
    <row r="8" spans="1:2" x14ac:dyDescent="0.25">
      <c r="B8" s="31"/>
    </row>
    <row r="9" spans="1:2" x14ac:dyDescent="0.25">
      <c r="A9" t="s">
        <v>75</v>
      </c>
      <c r="B9" s="31"/>
    </row>
    <row r="10" spans="1:2" x14ac:dyDescent="0.25">
      <c r="A10" s="35" t="s">
        <v>21</v>
      </c>
      <c r="B10" s="32">
        <f>EstClsIBFUtPerc</f>
        <v>0.55940000000000001</v>
      </c>
    </row>
    <row r="11" spans="1:2" x14ac:dyDescent="0.25">
      <c r="A11" s="35" t="s">
        <v>22</v>
      </c>
      <c r="B11" s="32">
        <f>EstClsIIBFUtPerc</f>
        <v>0.10290000000000001</v>
      </c>
    </row>
    <row r="12" spans="1:2" x14ac:dyDescent="0.25">
      <c r="A12" s="35" t="s">
        <v>23</v>
      </c>
      <c r="B12" s="38">
        <f>EstClsIIIBFUtPerc</f>
        <v>0.3377</v>
      </c>
    </row>
    <row r="13" spans="1:2" x14ac:dyDescent="0.25">
      <c r="B13" s="32">
        <f>SUM(B10:B12)</f>
        <v>1</v>
      </c>
    </row>
    <row r="14" spans="1:2" x14ac:dyDescent="0.25">
      <c r="B14" s="31"/>
    </row>
    <row r="15" spans="1:2" x14ac:dyDescent="0.25">
      <c r="A15" t="s">
        <v>76</v>
      </c>
      <c r="B15" s="31"/>
    </row>
    <row r="16" spans="1:2" x14ac:dyDescent="0.25">
      <c r="A16" s="35" t="s">
        <v>21</v>
      </c>
      <c r="B16" s="32">
        <f>EstClsISkimUtPerc</f>
        <v>0.93300000000000005</v>
      </c>
    </row>
    <row r="17" spans="1:2" x14ac:dyDescent="0.25">
      <c r="A17" s="35" t="s">
        <v>22</v>
      </c>
      <c r="B17" s="32">
        <f>EstClsIISkimUTPerc</f>
        <v>0</v>
      </c>
    </row>
    <row r="18" spans="1:2" x14ac:dyDescent="0.25">
      <c r="A18" s="35" t="s">
        <v>23</v>
      </c>
      <c r="B18" s="38">
        <f>EstClsIIISkimUtPerc</f>
        <v>6.7000000000000004E-2</v>
      </c>
    </row>
    <row r="19" spans="1:2" x14ac:dyDescent="0.25">
      <c r="B19" s="32">
        <f>SUM(B16:B18)</f>
        <v>1</v>
      </c>
    </row>
    <row r="20" spans="1:2" x14ac:dyDescent="0.25">
      <c r="B20" s="32"/>
    </row>
    <row r="21" spans="1:2" ht="15.75" x14ac:dyDescent="0.25">
      <c r="A21" s="213" t="s">
        <v>142</v>
      </c>
      <c r="B21" s="39">
        <f>'Quota Price Estimator'!D27</f>
        <v>-53250</v>
      </c>
    </row>
    <row r="22" spans="1:2" x14ac:dyDescent="0.25">
      <c r="B22" s="31"/>
    </row>
    <row r="23" spans="1:2" x14ac:dyDescent="0.25">
      <c r="A23" t="s">
        <v>134</v>
      </c>
      <c r="B23" s="32">
        <f>EstClsIPckgSurpPoolBFUtPerc</f>
        <v>0.171629</v>
      </c>
    </row>
    <row r="24" spans="1:2" x14ac:dyDescent="0.25">
      <c r="A24" t="s">
        <v>135</v>
      </c>
      <c r="B24" s="32">
        <f>EstClsIPckgSurpPoolSkimUtPerc</f>
        <v>0.28275299999999998</v>
      </c>
    </row>
    <row r="25" spans="1:2" x14ac:dyDescent="0.25">
      <c r="B25" s="31"/>
    </row>
    <row r="26" spans="1:2" x14ac:dyDescent="0.25">
      <c r="A26" t="s">
        <v>137</v>
      </c>
      <c r="B26" s="32">
        <f>PercClsIPckgSurptoContigStates</f>
        <v>0.39758900000000003</v>
      </c>
    </row>
    <row r="27" spans="1:2" x14ac:dyDescent="0.25">
      <c r="B27" s="31"/>
    </row>
    <row r="28" spans="1:2" x14ac:dyDescent="0.25">
      <c r="A28" s="214" t="s">
        <v>140</v>
      </c>
      <c r="B28" s="32">
        <f>EstBulkSurpPoolMilkUtPerc</f>
        <v>0</v>
      </c>
    </row>
    <row r="29" spans="1:2" x14ac:dyDescent="0.25">
      <c r="B29" s="31"/>
    </row>
    <row r="30" spans="1:2" x14ac:dyDescent="0.25">
      <c r="A30" t="s">
        <v>143</v>
      </c>
      <c r="B30" s="39">
        <f>'Quota Price Estimator'!F59</f>
        <v>-1.24</v>
      </c>
    </row>
    <row r="33" spans="1:2" ht="30" hidden="1" x14ac:dyDescent="0.25">
      <c r="B33" s="4" t="s">
        <v>186</v>
      </c>
    </row>
    <row r="34" spans="1:2" hidden="1" x14ac:dyDescent="0.25">
      <c r="A34" t="s">
        <v>168</v>
      </c>
      <c r="B34" s="248">
        <f>'Dairy Revenue Estimator'!B9</f>
        <v>22.33718430498736</v>
      </c>
    </row>
    <row r="35" spans="1:2" hidden="1" x14ac:dyDescent="0.25">
      <c r="A35" t="s">
        <v>169</v>
      </c>
      <c r="B35" s="249">
        <f>'Dairy Revenue Estimator'!C9</f>
        <v>2.9283063600000001</v>
      </c>
    </row>
    <row r="36" spans="1:2" hidden="1" x14ac:dyDescent="0.25">
      <c r="A36" t="s">
        <v>170</v>
      </c>
      <c r="B36" s="249">
        <f>'Dairy Revenue Estimator'!D9</f>
        <v>0.12526540979261511</v>
      </c>
    </row>
    <row r="37" spans="1:2" hidden="1" x14ac:dyDescent="0.25">
      <c r="B37" s="246"/>
    </row>
    <row r="38" spans="1:2" hidden="1" x14ac:dyDescent="0.25">
      <c r="A38" t="s">
        <v>19</v>
      </c>
      <c r="B38" s="250">
        <f>'Quota Price Estimator'!B13</f>
        <v>16335109</v>
      </c>
    </row>
    <row r="39" spans="1:2" hidden="1" x14ac:dyDescent="0.25">
      <c r="B39" s="246"/>
    </row>
    <row r="40" spans="1:2" hidden="1" x14ac:dyDescent="0.25">
      <c r="A40" t="s">
        <v>171</v>
      </c>
      <c r="B40" s="251">
        <f>'Quota Price Estimator'!B7</f>
        <v>3.9922000000000006E-2</v>
      </c>
    </row>
    <row r="41" spans="1:2" hidden="1" x14ac:dyDescent="0.25">
      <c r="B41" s="247"/>
    </row>
    <row r="42" spans="1:2" hidden="1" x14ac:dyDescent="0.25">
      <c r="A42" t="s">
        <v>172</v>
      </c>
      <c r="B42" s="251">
        <f>'Quota Price Estimator'!B8</f>
        <v>1.9424E-2</v>
      </c>
    </row>
    <row r="43" spans="1:2" hidden="1" x14ac:dyDescent="0.25">
      <c r="B43" s="246"/>
    </row>
    <row r="44" spans="1:2" hidden="1" x14ac:dyDescent="0.25">
      <c r="A44" t="s">
        <v>173</v>
      </c>
      <c r="B44" s="252">
        <f>'Quota Price Estimator'!H16</f>
        <v>0.55940000000000001</v>
      </c>
    </row>
    <row r="45" spans="1:2" hidden="1" x14ac:dyDescent="0.25">
      <c r="A45" t="s">
        <v>174</v>
      </c>
      <c r="B45" s="252">
        <f>'Quota Price Estimator'!H17</f>
        <v>0.10290000000000001</v>
      </c>
    </row>
    <row r="46" spans="1:2" hidden="1" x14ac:dyDescent="0.25">
      <c r="A46" t="s">
        <v>175</v>
      </c>
      <c r="B46" s="252">
        <f>'Quota Price Estimator'!H18</f>
        <v>0.3377</v>
      </c>
    </row>
    <row r="47" spans="1:2" hidden="1" x14ac:dyDescent="0.25">
      <c r="B47" s="247"/>
    </row>
    <row r="48" spans="1:2" hidden="1" x14ac:dyDescent="0.25">
      <c r="A48" t="s">
        <v>176</v>
      </c>
      <c r="B48" s="252">
        <f>'Quota Price Estimator'!I16</f>
        <v>0.93300000000000005</v>
      </c>
    </row>
    <row r="49" spans="1:2" hidden="1" x14ac:dyDescent="0.25">
      <c r="A49" t="s">
        <v>177</v>
      </c>
      <c r="B49" s="252">
        <f>'Quota Price Estimator'!I17</f>
        <v>0</v>
      </c>
    </row>
    <row r="50" spans="1:2" hidden="1" x14ac:dyDescent="0.25">
      <c r="A50" t="s">
        <v>178</v>
      </c>
      <c r="B50" s="252">
        <f>'Quota Price Estimator'!I18</f>
        <v>6.7000000000000004E-2</v>
      </c>
    </row>
    <row r="51" spans="1:2" hidden="1" x14ac:dyDescent="0.25">
      <c r="B51" s="246"/>
    </row>
    <row r="52" spans="1:2" hidden="1" x14ac:dyDescent="0.25">
      <c r="A52" t="s">
        <v>179</v>
      </c>
      <c r="B52" s="253">
        <f>ROUND('Quota Price Estimator'!B42/100,2)</f>
        <v>45463.34</v>
      </c>
    </row>
    <row r="53" spans="1:2" hidden="1" x14ac:dyDescent="0.25">
      <c r="A53" t="s">
        <v>180</v>
      </c>
      <c r="B53" s="254">
        <f>SurplusAdjustmentPckgClassI</f>
        <v>-129625.31999999999</v>
      </c>
    </row>
    <row r="54" spans="1:2" hidden="1" x14ac:dyDescent="0.25">
      <c r="B54" s="246"/>
    </row>
    <row r="55" spans="1:2" hidden="1" x14ac:dyDescent="0.25">
      <c r="A55" t="s">
        <v>181</v>
      </c>
      <c r="B55" s="253">
        <f>ROUND('Quota Price Estimator'!B56/100,2)</f>
        <v>0</v>
      </c>
    </row>
    <row r="56" spans="1:2" hidden="1" x14ac:dyDescent="0.25">
      <c r="A56" t="s">
        <v>182</v>
      </c>
      <c r="B56" s="254">
        <f>'Quota Price Estimator'!F59</f>
        <v>-1.24</v>
      </c>
    </row>
    <row r="57" spans="1:2" hidden="1" x14ac:dyDescent="0.25">
      <c r="A57" t="s">
        <v>183</v>
      </c>
      <c r="B57" s="254">
        <f>SurplusAdjustmentBulkSales</f>
        <v>0</v>
      </c>
    </row>
    <row r="58" spans="1:2" hidden="1" x14ac:dyDescent="0.25">
      <c r="B58" s="246"/>
    </row>
    <row r="59" spans="1:2" hidden="1" x14ac:dyDescent="0.25">
      <c r="A59" t="s">
        <v>184</v>
      </c>
      <c r="B59" s="254">
        <f>'Quota Price Estimator'!D27</f>
        <v>-53250</v>
      </c>
    </row>
    <row r="60" spans="1:2" hidden="1" x14ac:dyDescent="0.25">
      <c r="B60" s="246"/>
    </row>
    <row r="61" spans="1:2" hidden="1" x14ac:dyDescent="0.25">
      <c r="A61" s="40" t="s">
        <v>185</v>
      </c>
      <c r="B61" s="254">
        <f>'Quota Price Estimator'!B30</f>
        <v>3869412.4412605022</v>
      </c>
    </row>
  </sheetData>
  <sheetProtection algorithmName="SHA-512" hashValue="DSMKKf9BOYwcIogvGcQX67wjN8LJTWs2cs5nClTLUnclZFpML30+1DG8EToennGHwWqZkO0a89Cn22eqXuuq1A==" saltValue="VUEb/Exl46SDsDP5noILzQ==" spinCount="100000" sheet="1" objects="1" scenarios="1"/>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34"/>
  <sheetViews>
    <sheetView zoomScaleNormal="100" workbookViewId="0">
      <pane ySplit="2" topLeftCell="A104" activePane="bottomLeft" state="frozenSplit"/>
      <selection pane="bottomLeft" activeCell="A122" sqref="A122:XFD131"/>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8" max="8" width="10.140625" bestFit="1"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201</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13" si="9">SUM(B96:D96)</f>
        <v>1</v>
      </c>
      <c r="G96" s="15">
        <v>45108</v>
      </c>
      <c r="H96" s="13">
        <v>0.90710000000000002</v>
      </c>
      <c r="I96" s="13">
        <v>3.9800000000000002E-2</v>
      </c>
      <c r="J96" s="13">
        <v>5.3100000000000001E-2</v>
      </c>
      <c r="K96" s="13">
        <f t="shared" ref="K96:K113"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v>45536</v>
      </c>
      <c r="B110" s="13">
        <v>0.54449999999999998</v>
      </c>
      <c r="C110" s="13">
        <v>0.15310000000000001</v>
      </c>
      <c r="D110" s="13">
        <v>0.3024</v>
      </c>
      <c r="E110" s="13">
        <f t="shared" si="9"/>
        <v>1</v>
      </c>
      <c r="G110" s="15">
        <v>45536</v>
      </c>
      <c r="H110" s="13">
        <f>91.26%+0.01%</f>
        <v>0.91270000000000007</v>
      </c>
      <c r="I110" s="13">
        <v>1.11E-2</v>
      </c>
      <c r="J110" s="13">
        <v>7.6200000000000004E-2</v>
      </c>
      <c r="K110" s="13">
        <f t="shared" si="10"/>
        <v>1</v>
      </c>
    </row>
    <row r="111" spans="1:11" x14ac:dyDescent="0.25">
      <c r="A111" s="14">
        <v>45566</v>
      </c>
      <c r="B111" s="13">
        <v>0.53769999999999996</v>
      </c>
      <c r="C111" s="13">
        <v>0.15260000000000001</v>
      </c>
      <c r="D111" s="13">
        <v>0.30969999999999998</v>
      </c>
      <c r="E111" s="13">
        <f t="shared" si="9"/>
        <v>0.99999999999999989</v>
      </c>
      <c r="G111" s="15">
        <v>45566</v>
      </c>
      <c r="H111" s="13">
        <v>0.91930000000000001</v>
      </c>
      <c r="I111" s="13">
        <v>7.7999999999999996E-3</v>
      </c>
      <c r="J111" s="13">
        <v>7.2900000000000006E-2</v>
      </c>
      <c r="K111" s="13">
        <f t="shared" si="10"/>
        <v>1</v>
      </c>
    </row>
    <row r="112" spans="1:11" x14ac:dyDescent="0.25">
      <c r="A112" s="14">
        <v>45597</v>
      </c>
      <c r="B112" s="13">
        <v>0.52959999999999996</v>
      </c>
      <c r="C112" s="13">
        <v>0.108</v>
      </c>
      <c r="D112" s="13">
        <v>0.3624</v>
      </c>
      <c r="E112" s="13">
        <f t="shared" si="9"/>
        <v>1</v>
      </c>
      <c r="G112" s="15">
        <v>45597</v>
      </c>
      <c r="H112" s="13">
        <v>0.91920000000000002</v>
      </c>
      <c r="I112" s="13">
        <v>2.5000000000000001E-3</v>
      </c>
      <c r="J112" s="13">
        <v>7.8299999999999995E-2</v>
      </c>
      <c r="K112" s="13">
        <f t="shared" si="10"/>
        <v>1</v>
      </c>
    </row>
    <row r="113" spans="1:17" x14ac:dyDescent="0.25">
      <c r="A113" s="14">
        <v>45627</v>
      </c>
      <c r="B113" s="13">
        <f>54.53%+0.01%</f>
        <v>0.5454</v>
      </c>
      <c r="C113" s="13">
        <v>9.5200000000000007E-2</v>
      </c>
      <c r="D113" s="13">
        <v>0.3594</v>
      </c>
      <c r="E113" s="13">
        <f t="shared" si="9"/>
        <v>1</v>
      </c>
      <c r="G113" s="15">
        <v>45627</v>
      </c>
      <c r="H113" s="13">
        <v>0.91449999999999998</v>
      </c>
      <c r="I113" s="13">
        <v>0</v>
      </c>
      <c r="J113" s="13">
        <v>8.5500000000000007E-2</v>
      </c>
      <c r="K113" s="13">
        <f t="shared" si="10"/>
        <v>1</v>
      </c>
    </row>
    <row r="114" spans="1:17" x14ac:dyDescent="0.25">
      <c r="A114" s="14"/>
      <c r="B114" s="13"/>
      <c r="C114" s="13"/>
      <c r="D114" s="13"/>
      <c r="E114" s="13"/>
      <c r="G114" s="15"/>
      <c r="H114" s="13"/>
      <c r="I114" s="13"/>
      <c r="J114" s="13"/>
      <c r="K114" s="13"/>
    </row>
    <row r="115" spans="1:17" x14ac:dyDescent="0.25">
      <c r="A115" s="14"/>
      <c r="B115" s="13"/>
      <c r="C115" s="13"/>
      <c r="D115" s="13"/>
      <c r="E115" s="13"/>
      <c r="G115" s="15"/>
      <c r="H115" s="13"/>
      <c r="I115" s="13"/>
      <c r="J115" s="13"/>
      <c r="K115" s="13"/>
    </row>
    <row r="116" spans="1:17" x14ac:dyDescent="0.25">
      <c r="A116" s="14"/>
      <c r="B116" s="13"/>
      <c r="C116" s="13"/>
      <c r="D116" s="13"/>
      <c r="E116" s="13"/>
      <c r="G116" s="15"/>
      <c r="H116" s="13"/>
      <c r="I116" s="13"/>
      <c r="J116" s="13"/>
      <c r="K116" s="13"/>
    </row>
    <row r="117" spans="1:17" x14ac:dyDescent="0.25">
      <c r="A117" s="16" t="s">
        <v>62</v>
      </c>
      <c r="B117" s="17"/>
      <c r="C117" s="17"/>
      <c r="D117" s="17"/>
      <c r="E117" s="17"/>
      <c r="G117" s="16" t="s">
        <v>61</v>
      </c>
      <c r="H117" s="19"/>
      <c r="I117" s="19"/>
      <c r="J117" s="19"/>
      <c r="K117" s="19"/>
    </row>
    <row r="118" spans="1:17" x14ac:dyDescent="0.25">
      <c r="A118" s="27">
        <f>Pooling_Month</f>
        <v>45658</v>
      </c>
      <c r="B118" s="28" t="s">
        <v>21</v>
      </c>
      <c r="C118" s="28" t="s">
        <v>22</v>
      </c>
      <c r="D118" s="28" t="s">
        <v>23</v>
      </c>
      <c r="E118" s="28" t="s">
        <v>54</v>
      </c>
      <c r="G118" s="27">
        <f>Pooling_Month</f>
        <v>45658</v>
      </c>
      <c r="H118" s="28" t="s">
        <v>21</v>
      </c>
      <c r="I118" s="28" t="s">
        <v>22</v>
      </c>
      <c r="J118" s="28" t="s">
        <v>23</v>
      </c>
      <c r="K118" s="28" t="s">
        <v>54</v>
      </c>
      <c r="P118" s="100" t="s">
        <v>166</v>
      </c>
      <c r="Q118" s="100" t="s">
        <v>167</v>
      </c>
    </row>
    <row r="119" spans="1:17" x14ac:dyDescent="0.25">
      <c r="A119" s="31" t="s">
        <v>60</v>
      </c>
      <c r="B119" s="32">
        <v>0.55940000000000001</v>
      </c>
      <c r="C119" s="32">
        <v>0.10290000000000001</v>
      </c>
      <c r="D119" s="32">
        <v>0.3377</v>
      </c>
      <c r="E119" s="13">
        <v>1</v>
      </c>
      <c r="G119" s="31" t="s">
        <v>60</v>
      </c>
      <c r="H119" s="32">
        <v>0.93300000000000005</v>
      </c>
      <c r="I119" s="32">
        <v>0</v>
      </c>
      <c r="J119" s="32">
        <v>6.7000000000000004E-2</v>
      </c>
      <c r="K119" s="13">
        <f>SUM(H119:J119)</f>
        <v>1</v>
      </c>
      <c r="M119" s="30"/>
      <c r="O119" s="99"/>
      <c r="P119" s="13">
        <f>1-E119</f>
        <v>0</v>
      </c>
      <c r="Q119" s="227">
        <f>1-K119</f>
        <v>0</v>
      </c>
    </row>
    <row r="121" spans="1:17" ht="15.75" customHeight="1" x14ac:dyDescent="0.25">
      <c r="L121" t="s">
        <v>199</v>
      </c>
      <c r="M121" s="100"/>
      <c r="N121" s="100"/>
      <c r="O121" s="100"/>
      <c r="P121" s="100"/>
      <c r="Q121" s="100"/>
    </row>
    <row r="122" spans="1:17" ht="30" hidden="1" x14ac:dyDescent="0.25">
      <c r="A122" s="40" t="s">
        <v>216</v>
      </c>
      <c r="B122" s="13">
        <f>B103-B101</f>
        <v>1.9600000000000062E-2</v>
      </c>
      <c r="C122" s="13">
        <f>C103-C101</f>
        <v>1.5200000000000005E-2</v>
      </c>
      <c r="D122" s="13">
        <f>D103-D101</f>
        <v>-3.4799999999999998E-2</v>
      </c>
      <c r="E122" s="13">
        <f>E103-E101</f>
        <v>0</v>
      </c>
      <c r="F122" s="13"/>
      <c r="G122" s="13"/>
      <c r="H122" s="13">
        <f>H103-H101</f>
        <v>2.7700000000000058E-2</v>
      </c>
      <c r="I122" s="13">
        <f>I103-I101</f>
        <v>-8.9999999999999998E-4</v>
      </c>
      <c r="J122" s="13">
        <f>J103-J101</f>
        <v>-2.679999999999999E-2</v>
      </c>
      <c r="K122" s="13">
        <f>K103-K101</f>
        <v>0</v>
      </c>
      <c r="M122" s="30"/>
      <c r="O122" s="99"/>
      <c r="Q122" s="30"/>
    </row>
    <row r="123" spans="1:17" hidden="1" x14ac:dyDescent="0.25">
      <c r="A123" s="93" t="s">
        <v>214</v>
      </c>
      <c r="B123" s="13">
        <f>B113</f>
        <v>0.5454</v>
      </c>
      <c r="C123" s="13">
        <f>C113</f>
        <v>9.5200000000000007E-2</v>
      </c>
      <c r="D123" s="13">
        <f>D113</f>
        <v>0.3594</v>
      </c>
      <c r="E123" s="13">
        <f>E113</f>
        <v>1</v>
      </c>
      <c r="F123" s="13"/>
      <c r="G123" s="13"/>
      <c r="H123" s="13">
        <f>H113</f>
        <v>0.91449999999999998</v>
      </c>
      <c r="I123" s="13">
        <f>I113</f>
        <v>0</v>
      </c>
      <c r="J123" s="13">
        <f>J113</f>
        <v>8.5500000000000007E-2</v>
      </c>
      <c r="K123" s="13">
        <f>K113</f>
        <v>1</v>
      </c>
      <c r="M123" s="30" t="e">
        <f>C123/I123</f>
        <v>#DIV/0!</v>
      </c>
      <c r="N123" s="228"/>
      <c r="O123" s="99" t="e">
        <f>C123/I123</f>
        <v>#DIV/0!</v>
      </c>
      <c r="Q123" s="30"/>
    </row>
    <row r="124" spans="1:17" hidden="1" x14ac:dyDescent="0.25">
      <c r="A124" s="91" t="s">
        <v>206</v>
      </c>
      <c r="B124" s="258">
        <f>SUM(B122:B123)</f>
        <v>0.56500000000000006</v>
      </c>
      <c r="C124" s="258">
        <f t="shared" ref="C124:K124" si="11">SUM(C122:C123)</f>
        <v>0.11040000000000001</v>
      </c>
      <c r="D124" s="258">
        <f t="shared" si="11"/>
        <v>0.3246</v>
      </c>
      <c r="E124" s="13">
        <f t="shared" si="11"/>
        <v>1</v>
      </c>
      <c r="F124" s="258"/>
      <c r="G124" s="258"/>
      <c r="H124" s="258">
        <f t="shared" si="11"/>
        <v>0.94220000000000004</v>
      </c>
      <c r="I124" s="258">
        <f t="shared" si="11"/>
        <v>-8.9999999999999998E-4</v>
      </c>
      <c r="J124" s="258">
        <f t="shared" si="11"/>
        <v>5.8700000000000016E-2</v>
      </c>
      <c r="K124" s="13">
        <f t="shared" si="11"/>
        <v>1</v>
      </c>
      <c r="M124" s="30">
        <f>C124/I124</f>
        <v>-122.66666666666669</v>
      </c>
      <c r="O124" s="99">
        <f>C124/I124</f>
        <v>-122.66666666666669</v>
      </c>
      <c r="Q124" s="30"/>
    </row>
    <row r="125" spans="1:17" hidden="1" x14ac:dyDescent="0.25">
      <c r="A125" s="92" t="s">
        <v>207</v>
      </c>
      <c r="B125" s="13">
        <f>B103</f>
        <v>0.55940000000000001</v>
      </c>
      <c r="C125" s="13">
        <f>C103</f>
        <v>0.10290000000000001</v>
      </c>
      <c r="D125" s="13">
        <f>D103</f>
        <v>0.3377</v>
      </c>
      <c r="E125" s="13">
        <f>E103</f>
        <v>1</v>
      </c>
      <c r="F125" s="13"/>
      <c r="G125" s="13"/>
      <c r="H125" s="13">
        <f>H103</f>
        <v>0.93300000000000005</v>
      </c>
      <c r="I125" s="13">
        <f>I103</f>
        <v>0</v>
      </c>
      <c r="J125" s="13">
        <f>J103</f>
        <v>6.7000000000000004E-2</v>
      </c>
      <c r="K125" s="13">
        <f>K103</f>
        <v>1</v>
      </c>
      <c r="M125" s="30" t="e">
        <f>C125/I125</f>
        <v>#DIV/0!</v>
      </c>
      <c r="N125" s="228"/>
      <c r="O125" s="99" t="e">
        <f>C125/I125</f>
        <v>#DIV/0!</v>
      </c>
      <c r="Q125" s="30"/>
    </row>
    <row r="126" spans="1:17" hidden="1" x14ac:dyDescent="0.25">
      <c r="A126" t="s">
        <v>84</v>
      </c>
      <c r="B126" s="258">
        <f>AVERAGE(B124:B125)</f>
        <v>0.56220000000000003</v>
      </c>
      <c r="C126" s="258">
        <f t="shared" ref="C126:J126" si="12">AVERAGE(C124:C125)</f>
        <v>0.10665000000000001</v>
      </c>
      <c r="D126" s="258">
        <f t="shared" si="12"/>
        <v>0.33115</v>
      </c>
      <c r="E126" s="13">
        <f t="shared" si="12"/>
        <v>1</v>
      </c>
      <c r="F126" s="258"/>
      <c r="G126" s="258"/>
      <c r="H126" s="258">
        <f t="shared" si="12"/>
        <v>0.93759999999999999</v>
      </c>
      <c r="I126" s="258">
        <f t="shared" si="12"/>
        <v>-4.4999999999999999E-4</v>
      </c>
      <c r="J126" s="258">
        <f t="shared" si="12"/>
        <v>6.2850000000000017E-2</v>
      </c>
      <c r="K126" s="13">
        <f>AVERAGE(K124:K125)</f>
        <v>1</v>
      </c>
      <c r="L126" s="258"/>
      <c r="M126" s="30"/>
      <c r="O126" s="99"/>
      <c r="Q126" s="30"/>
    </row>
    <row r="127" spans="1:17" hidden="1" x14ac:dyDescent="0.25">
      <c r="E127" s="13"/>
      <c r="K127" s="13"/>
    </row>
    <row r="128" spans="1:17" hidden="1" x14ac:dyDescent="0.25">
      <c r="A128" s="92" t="s">
        <v>208</v>
      </c>
      <c r="B128" s="13">
        <f>B91</f>
        <v>0.52810000000000001</v>
      </c>
      <c r="C128" s="13">
        <f>C91</f>
        <v>9.1600000000000001E-2</v>
      </c>
      <c r="D128" s="13">
        <f>D91</f>
        <v>0.38030000000000003</v>
      </c>
      <c r="E128" s="13">
        <f>E91</f>
        <v>1</v>
      </c>
      <c r="F128" s="13"/>
      <c r="G128" s="13"/>
      <c r="H128" s="13">
        <f>H91</f>
        <v>0.92469999999999997</v>
      </c>
      <c r="I128" s="13">
        <f>I91</f>
        <v>1.11E-2</v>
      </c>
      <c r="J128" s="13">
        <f>J91</f>
        <v>6.4199999999999993E-2</v>
      </c>
      <c r="K128" s="13">
        <f>K91</f>
        <v>1</v>
      </c>
      <c r="M128" s="30">
        <f>C128/I128</f>
        <v>8.2522522522522515</v>
      </c>
      <c r="N128" s="228"/>
      <c r="O128" s="99">
        <f>C128/I128</f>
        <v>8.2522522522522515</v>
      </c>
    </row>
    <row r="129" spans="1:15" hidden="1" x14ac:dyDescent="0.25">
      <c r="A129" s="91" t="s">
        <v>209</v>
      </c>
      <c r="B129" s="13">
        <f>B78</f>
        <v>0.50980852255695697</v>
      </c>
      <c r="C129" s="13">
        <f>C78</f>
        <v>8.5102140744126614E-2</v>
      </c>
      <c r="D129" s="13">
        <f>D78</f>
        <v>0.40508933669891639</v>
      </c>
      <c r="E129" s="13">
        <f>E78</f>
        <v>1</v>
      </c>
      <c r="F129" s="13"/>
      <c r="G129" s="13"/>
      <c r="H129" s="13">
        <f>H78</f>
        <v>0.92201562836568685</v>
      </c>
      <c r="I129" s="13">
        <f>I78</f>
        <v>1.9491600774755181E-2</v>
      </c>
      <c r="J129" s="13">
        <f>J78</f>
        <v>5.8492770859557931E-2</v>
      </c>
      <c r="K129" s="13">
        <f>K78</f>
        <v>1</v>
      </c>
      <c r="M129" s="30">
        <f>C129/I129</f>
        <v>4.3660929508851751</v>
      </c>
      <c r="N129" s="228"/>
      <c r="O129" s="99">
        <f>C129/I129</f>
        <v>4.3660929508851751</v>
      </c>
    </row>
    <row r="130" spans="1:15" ht="30" hidden="1" x14ac:dyDescent="0.25">
      <c r="A130" s="40" t="s">
        <v>210</v>
      </c>
      <c r="B130" s="13">
        <f>AVERAGE(B124,B125,B128,B129)</f>
        <v>0.54057713063923929</v>
      </c>
      <c r="C130" s="13">
        <f t="shared" ref="C130:K130" si="13">AVERAGE(C124,C125,C128,C129)</f>
        <v>9.7500535186031662E-2</v>
      </c>
      <c r="D130" s="13">
        <f t="shared" si="13"/>
        <v>0.36192233417472908</v>
      </c>
      <c r="E130" s="13">
        <f t="shared" si="13"/>
        <v>1</v>
      </c>
      <c r="F130" s="13"/>
      <c r="G130" s="13"/>
      <c r="H130" s="13">
        <f t="shared" si="13"/>
        <v>0.93047890709142167</v>
      </c>
      <c r="I130" s="13">
        <f t="shared" si="13"/>
        <v>7.4229001936887955E-3</v>
      </c>
      <c r="J130" s="13">
        <f t="shared" si="13"/>
        <v>6.2098192714889484E-2</v>
      </c>
      <c r="K130" s="13">
        <f t="shared" si="13"/>
        <v>1</v>
      </c>
    </row>
    <row r="131" spans="1:15" ht="30" hidden="1" x14ac:dyDescent="0.25">
      <c r="A131" s="40" t="s">
        <v>217</v>
      </c>
      <c r="B131" s="13">
        <f>AVERAGE(B124,B125,B128)</f>
        <v>0.5508333333333334</v>
      </c>
      <c r="C131" s="13">
        <f t="shared" ref="C131:K131" si="14">AVERAGE(C124,C125,C128)</f>
        <v>0.10163333333333334</v>
      </c>
      <c r="D131" s="13">
        <f t="shared" si="14"/>
        <v>0.34753333333333331</v>
      </c>
      <c r="E131" s="13">
        <f t="shared" si="14"/>
        <v>1</v>
      </c>
      <c r="F131" s="13"/>
      <c r="G131" s="13"/>
      <c r="H131" s="13">
        <f t="shared" si="14"/>
        <v>0.93330000000000002</v>
      </c>
      <c r="I131" s="13">
        <f t="shared" si="14"/>
        <v>3.4000000000000002E-3</v>
      </c>
      <c r="J131" s="13">
        <f t="shared" si="14"/>
        <v>6.3300000000000009E-2</v>
      </c>
      <c r="K131" s="13">
        <f t="shared" si="14"/>
        <v>1</v>
      </c>
    </row>
    <row r="134" spans="1:15" x14ac:dyDescent="0.25">
      <c r="B134" s="227"/>
    </row>
  </sheetData>
  <sheetProtection algorithmName="SHA-512" hashValue="UtJfHTjXsbVrDT8pfrG1lnj2LiV7ua1Npf5wRMDlX1Gxsp3S5rMGIoC4/eoUQq3nG0Dp3O4KbjnQqPRGEija2A==" saltValue="UVLh0q8/SDXjQsdKL21ZVQ=="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E153"/>
  <sheetViews>
    <sheetView workbookViewId="0">
      <pane ySplit="1" topLeftCell="A117" activePane="bottomLeft" state="frozen"/>
      <selection pane="bottomLeft" activeCell="C159" sqref="C159"/>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5" x14ac:dyDescent="0.25">
      <c r="A129" s="14">
        <v>45444</v>
      </c>
      <c r="B129" s="25">
        <v>3.9065999999999997E-2</v>
      </c>
    </row>
    <row r="130" spans="1:5" x14ac:dyDescent="0.25">
      <c r="A130" s="14">
        <v>45474</v>
      </c>
      <c r="B130" s="25">
        <v>3.8640000000000001E-2</v>
      </c>
    </row>
    <row r="131" spans="1:5" x14ac:dyDescent="0.25">
      <c r="A131" s="14">
        <v>45505</v>
      </c>
      <c r="B131" s="25">
        <v>3.8317999999999998E-2</v>
      </c>
    </row>
    <row r="132" spans="1:5" x14ac:dyDescent="0.25">
      <c r="A132" s="14">
        <v>45536</v>
      </c>
      <c r="B132" s="25">
        <v>3.9378000000000003E-2</v>
      </c>
    </row>
    <row r="133" spans="1:5" x14ac:dyDescent="0.25">
      <c r="A133" s="14">
        <v>45566</v>
      </c>
      <c r="B133" s="25">
        <v>4.0328999999999997E-2</v>
      </c>
    </row>
    <row r="134" spans="1:5" x14ac:dyDescent="0.25">
      <c r="A134" s="14">
        <v>45597</v>
      </c>
      <c r="B134" s="25">
        <v>4.0876999999999997E-2</v>
      </c>
    </row>
    <row r="135" spans="1:5" x14ac:dyDescent="0.25">
      <c r="A135" s="14">
        <v>45627</v>
      </c>
      <c r="B135" s="25">
        <v>4.0756000000000001E-2</v>
      </c>
    </row>
    <row r="136" spans="1:5" x14ac:dyDescent="0.25">
      <c r="A136" s="14"/>
      <c r="B136" s="25"/>
    </row>
    <row r="137" spans="1:5" x14ac:dyDescent="0.25">
      <c r="A137" s="14"/>
      <c r="B137" s="25"/>
    </row>
    <row r="138" spans="1:5" x14ac:dyDescent="0.25">
      <c r="A138" s="262"/>
      <c r="B138" s="25"/>
    </row>
    <row r="139" spans="1:5" ht="45" x14ac:dyDescent="0.25">
      <c r="A139" s="27">
        <f>Pooling_Month</f>
        <v>45658</v>
      </c>
      <c r="B139" s="20" t="s">
        <v>65</v>
      </c>
    </row>
    <row r="140" spans="1:5" x14ac:dyDescent="0.25">
      <c r="A140" s="31" t="s">
        <v>60</v>
      </c>
      <c r="B140" s="32">
        <v>3.9922000000000006E-2</v>
      </c>
    </row>
    <row r="142" spans="1:5" ht="14.25" hidden="1" customHeight="1" x14ac:dyDescent="0.25">
      <c r="E142" t="s">
        <v>193</v>
      </c>
    </row>
    <row r="143" spans="1:5" ht="30" hidden="1" x14ac:dyDescent="0.25">
      <c r="A143" s="40" t="s">
        <v>215</v>
      </c>
      <c r="B143" s="25">
        <f>B125-B123</f>
        <v>-8.3399999999999447E-4</v>
      </c>
    </row>
    <row r="144" spans="1:5" hidden="1" x14ac:dyDescent="0.25">
      <c r="A144" s="93" t="s">
        <v>214</v>
      </c>
      <c r="B144" s="25">
        <f>B135</f>
        <v>4.0756000000000001E-2</v>
      </c>
    </row>
    <row r="145" spans="1:2" hidden="1" x14ac:dyDescent="0.25">
      <c r="A145" s="91" t="s">
        <v>206</v>
      </c>
      <c r="B145" s="25">
        <f>SUM(B143:B144)</f>
        <v>3.9922000000000006E-2</v>
      </c>
    </row>
    <row r="146" spans="1:2" hidden="1" x14ac:dyDescent="0.25">
      <c r="A146" s="92" t="s">
        <v>207</v>
      </c>
      <c r="B146" s="25">
        <f>B125</f>
        <v>3.9946000000000002E-2</v>
      </c>
    </row>
    <row r="147" spans="1:2" hidden="1" x14ac:dyDescent="0.25">
      <c r="A147" t="s">
        <v>84</v>
      </c>
      <c r="B147" s="25">
        <f>AVERAGE(B145:B146)</f>
        <v>3.9934000000000004E-2</v>
      </c>
    </row>
    <row r="148" spans="1:2" hidden="1" x14ac:dyDescent="0.25">
      <c r="B148" s="25"/>
    </row>
    <row r="149" spans="1:2" hidden="1" x14ac:dyDescent="0.25">
      <c r="A149" s="92" t="s">
        <v>208</v>
      </c>
      <c r="B149" s="25">
        <f>B113</f>
        <v>3.9021E-2</v>
      </c>
    </row>
    <row r="150" spans="1:2" hidden="1" x14ac:dyDescent="0.25">
      <c r="A150" s="91" t="s">
        <v>209</v>
      </c>
      <c r="B150" s="25">
        <f>B101</f>
        <v>3.8753999999999997E-2</v>
      </c>
    </row>
    <row r="151" spans="1:2" hidden="1" x14ac:dyDescent="0.25">
      <c r="A151" s="40" t="s">
        <v>210</v>
      </c>
      <c r="B151" s="25">
        <f>(B145+B146+B149+B150)/4</f>
        <v>3.9410750000000001E-2</v>
      </c>
    </row>
    <row r="152" spans="1:2" hidden="1" x14ac:dyDescent="0.25">
      <c r="A152" s="40" t="s">
        <v>211</v>
      </c>
      <c r="B152" s="25">
        <f>(B145+B146+B149)/3</f>
        <v>3.9629666666666667E-2</v>
      </c>
    </row>
    <row r="153" spans="1:2" x14ac:dyDescent="0.25">
      <c r="A153" s="40"/>
    </row>
  </sheetData>
  <sheetProtection algorithmName="SHA-512" hashValue="U9qLhZAhRkkYeRqSIB7ojiYGWp+RdxLBj24wkj8FpTk3x/rslLB1ctHUXPuqgvHnd4XhTJDhYzHtnv1Qy21mxQ==" saltValue="SGQrlZYyPIOmv6asyzrtYw=="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F153"/>
  <sheetViews>
    <sheetView workbookViewId="0">
      <pane ySplit="1" topLeftCell="A120" activePane="bottomLeft" state="frozen"/>
      <selection pane="bottomLeft" activeCell="A144" sqref="A144:XFD148"/>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4" x14ac:dyDescent="0.25">
      <c r="A129" s="14">
        <v>45444</v>
      </c>
      <c r="B129" s="21">
        <v>529125</v>
      </c>
    </row>
    <row r="130" spans="1:4" x14ac:dyDescent="0.25">
      <c r="A130" s="14">
        <v>45474</v>
      </c>
      <c r="B130" s="21">
        <v>527724</v>
      </c>
    </row>
    <row r="131" spans="1:4" x14ac:dyDescent="0.25">
      <c r="A131" s="14">
        <v>45505</v>
      </c>
      <c r="B131" s="21">
        <v>504387</v>
      </c>
    </row>
    <row r="132" spans="1:4" x14ac:dyDescent="0.25">
      <c r="A132" s="14">
        <v>45536</v>
      </c>
      <c r="B132" s="21">
        <v>505714</v>
      </c>
    </row>
    <row r="133" spans="1:4" x14ac:dyDescent="0.25">
      <c r="A133" s="14">
        <v>45566</v>
      </c>
      <c r="B133" s="21">
        <v>501102</v>
      </c>
    </row>
    <row r="134" spans="1:4" x14ac:dyDescent="0.25">
      <c r="A134" s="14">
        <v>45597</v>
      </c>
      <c r="B134" s="21">
        <v>499886</v>
      </c>
    </row>
    <row r="135" spans="1:4" x14ac:dyDescent="0.25">
      <c r="A135" s="14">
        <v>45627</v>
      </c>
      <c r="B135" s="21">
        <v>517303</v>
      </c>
    </row>
    <row r="136" spans="1:4" x14ac:dyDescent="0.25">
      <c r="A136" s="14"/>
      <c r="B136" s="21"/>
    </row>
    <row r="137" spans="1:4" x14ac:dyDescent="0.25">
      <c r="A137" s="14"/>
      <c r="B137" s="21"/>
    </row>
    <row r="138" spans="1:4" x14ac:dyDescent="0.25">
      <c r="A138" s="14"/>
      <c r="B138" s="21"/>
    </row>
    <row r="139" spans="1:4" ht="45" x14ac:dyDescent="0.25">
      <c r="A139" s="27">
        <f>Pooling_Month</f>
        <v>45658</v>
      </c>
      <c r="B139" s="20" t="s">
        <v>67</v>
      </c>
    </row>
    <row r="140" spans="1:4" x14ac:dyDescent="0.25">
      <c r="A140" s="31" t="s">
        <v>60</v>
      </c>
      <c r="B140" s="33">
        <v>526939</v>
      </c>
    </row>
    <row r="141" spans="1:4" x14ac:dyDescent="0.25">
      <c r="A141" s="31"/>
      <c r="B141" s="33"/>
    </row>
    <row r="142" spans="1:4" ht="16.5" customHeight="1" x14ac:dyDescent="0.25"/>
    <row r="144" spans="1:4" ht="30" hidden="1" x14ac:dyDescent="0.25">
      <c r="A144" s="40" t="s">
        <v>215</v>
      </c>
      <c r="B144" s="217">
        <f>B125-B123</f>
        <v>9636</v>
      </c>
      <c r="D144" t="s">
        <v>191</v>
      </c>
    </row>
    <row r="145" spans="1:6" hidden="1" x14ac:dyDescent="0.25">
      <c r="A145" s="93" t="s">
        <v>214</v>
      </c>
      <c r="B145" s="94">
        <f>B135</f>
        <v>517303</v>
      </c>
    </row>
    <row r="146" spans="1:6" hidden="1" x14ac:dyDescent="0.25">
      <c r="A146" s="91" t="s">
        <v>206</v>
      </c>
      <c r="B146" s="94">
        <f>SUM(B144:B145)</f>
        <v>526939</v>
      </c>
      <c r="C146" s="101"/>
      <c r="D146" s="101"/>
    </row>
    <row r="147" spans="1:6" hidden="1" x14ac:dyDescent="0.25">
      <c r="A147" s="92" t="s">
        <v>207</v>
      </c>
      <c r="B147" s="94">
        <f>B125</f>
        <v>545070</v>
      </c>
      <c r="C147" s="101"/>
      <c r="D147" s="101"/>
    </row>
    <row r="148" spans="1:6" hidden="1" x14ac:dyDescent="0.25">
      <c r="A148" t="s">
        <v>84</v>
      </c>
      <c r="B148" s="94">
        <f>AVERAGE(B146:B147)</f>
        <v>536004.5</v>
      </c>
      <c r="D148" s="101"/>
    </row>
    <row r="149" spans="1:6" x14ac:dyDescent="0.25">
      <c r="D149" s="101"/>
    </row>
    <row r="150" spans="1:6" x14ac:dyDescent="0.25">
      <c r="A150" s="92"/>
      <c r="D150" s="101"/>
      <c r="E150" s="94"/>
      <c r="F150" s="94"/>
    </row>
    <row r="151" spans="1:6" x14ac:dyDescent="0.25">
      <c r="A151" s="91"/>
    </row>
    <row r="152" spans="1:6" x14ac:dyDescent="0.25">
      <c r="A152" s="40"/>
    </row>
    <row r="153" spans="1:6" x14ac:dyDescent="0.25">
      <c r="A153" s="40"/>
    </row>
  </sheetData>
  <sheetProtection algorithmName="SHA-512" hashValue="9ds+4Poz9L64DrghbezCvrU21MwPiVZPv1KVOZMA8iYV9rvYvlK8Wbm/CXp+aMqRWig8i8kJW/0S6drrb79kZg==" saltValue="fMzTcikbn9okgll9do/63A=="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E160"/>
  <sheetViews>
    <sheetView workbookViewId="0">
      <pane ySplit="1" topLeftCell="A128" activePane="bottomLeft" state="frozen"/>
      <selection pane="bottomLeft" activeCell="B159" sqref="B159"/>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5" x14ac:dyDescent="0.25">
      <c r="A129" s="14">
        <v>45444</v>
      </c>
      <c r="B129" s="25">
        <v>7.0410000000000004E-3</v>
      </c>
    </row>
    <row r="130" spans="1:5" x14ac:dyDescent="0.25">
      <c r="A130" s="14">
        <v>45474</v>
      </c>
      <c r="B130" s="25">
        <v>6.992E-3</v>
      </c>
    </row>
    <row r="131" spans="1:5" x14ac:dyDescent="0.25">
      <c r="A131" s="14">
        <v>45505</v>
      </c>
      <c r="B131" s="25">
        <v>8.9189999999999998E-3</v>
      </c>
    </row>
    <row r="132" spans="1:5" x14ac:dyDescent="0.25">
      <c r="A132" s="14">
        <v>45536</v>
      </c>
      <c r="B132" s="25">
        <v>7.4229999999999999E-3</v>
      </c>
    </row>
    <row r="133" spans="1:5" x14ac:dyDescent="0.25">
      <c r="A133" s="14">
        <v>45566</v>
      </c>
      <c r="B133" s="25">
        <v>6.6740000000000002E-3</v>
      </c>
    </row>
    <row r="134" spans="1:5" x14ac:dyDescent="0.25">
      <c r="A134" s="14">
        <v>45597</v>
      </c>
      <c r="B134" s="25">
        <v>8.3440000000000007E-3</v>
      </c>
    </row>
    <row r="135" spans="1:5" x14ac:dyDescent="0.25">
      <c r="A135" s="14">
        <v>45627</v>
      </c>
      <c r="B135" s="25">
        <v>1.7023E-2</v>
      </c>
    </row>
    <row r="136" spans="1:5" x14ac:dyDescent="0.25">
      <c r="A136" s="14"/>
      <c r="B136" s="25"/>
    </row>
    <row r="137" spans="1:5" x14ac:dyDescent="0.25">
      <c r="A137" s="14"/>
    </row>
    <row r="138" spans="1:5" ht="60" x14ac:dyDescent="0.25">
      <c r="A138" s="27">
        <f>Pooling_Month</f>
        <v>45658</v>
      </c>
      <c r="B138" s="29" t="s">
        <v>69</v>
      </c>
    </row>
    <row r="139" spans="1:5" x14ac:dyDescent="0.25">
      <c r="A139" s="31" t="s">
        <v>60</v>
      </c>
      <c r="B139" s="32">
        <v>1.9424E-2</v>
      </c>
    </row>
    <row r="140" spans="1:5" ht="17.25" customHeight="1" x14ac:dyDescent="0.25"/>
    <row r="141" spans="1:5" hidden="1" x14ac:dyDescent="0.25">
      <c r="E141" t="s">
        <v>194</v>
      </c>
    </row>
    <row r="142" spans="1:5" ht="30" hidden="1" x14ac:dyDescent="0.25">
      <c r="A142" s="40" t="s">
        <v>215</v>
      </c>
      <c r="B142" s="95">
        <f>B125-B123</f>
        <v>2.4010000000000004E-3</v>
      </c>
    </row>
    <row r="143" spans="1:5" hidden="1" x14ac:dyDescent="0.25">
      <c r="A143" s="93" t="s">
        <v>214</v>
      </c>
      <c r="B143" s="95">
        <f>B135</f>
        <v>1.7023E-2</v>
      </c>
    </row>
    <row r="144" spans="1:5" hidden="1" x14ac:dyDescent="0.25">
      <c r="A144" s="91" t="s">
        <v>206</v>
      </c>
      <c r="B144" s="95">
        <f>SUM(B142:B143)</f>
        <v>1.9424E-2</v>
      </c>
    </row>
    <row r="145" spans="1:2" hidden="1" x14ac:dyDescent="0.25">
      <c r="A145" s="92" t="s">
        <v>207</v>
      </c>
      <c r="B145" s="95">
        <f>B125</f>
        <v>9.2490000000000003E-3</v>
      </c>
    </row>
    <row r="146" spans="1:2" hidden="1" x14ac:dyDescent="0.25">
      <c r="A146" s="92" t="s">
        <v>208</v>
      </c>
      <c r="B146" s="95">
        <f>B113</f>
        <v>6.3829999999999998E-3</v>
      </c>
    </row>
    <row r="147" spans="1:2" hidden="1" x14ac:dyDescent="0.25">
      <c r="A147" s="91" t="s">
        <v>209</v>
      </c>
      <c r="B147" s="95">
        <f>B101</f>
        <v>1.3224E-2</v>
      </c>
    </row>
    <row r="148" spans="1:2" ht="30" hidden="1" x14ac:dyDescent="0.25">
      <c r="A148" s="40" t="s">
        <v>210</v>
      </c>
      <c r="B148" s="95">
        <f>AVERAGE(B144:B147)</f>
        <v>1.2070000000000001E-2</v>
      </c>
    </row>
    <row r="149" spans="1:2" hidden="1" x14ac:dyDescent="0.25">
      <c r="A149" s="40" t="s">
        <v>211</v>
      </c>
      <c r="B149" s="25">
        <f>AVERAGE(B144:B146)</f>
        <v>1.1685333333333334E-2</v>
      </c>
    </row>
    <row r="152" spans="1:2" x14ac:dyDescent="0.25">
      <c r="A152" s="40"/>
    </row>
    <row r="153" spans="1:2" x14ac:dyDescent="0.25">
      <c r="A153" s="93"/>
    </row>
    <row r="154" spans="1:2" x14ac:dyDescent="0.25">
      <c r="A154" s="91"/>
    </row>
    <row r="155" spans="1:2" x14ac:dyDescent="0.25">
      <c r="A155" s="92"/>
    </row>
    <row r="157" spans="1:2" x14ac:dyDescent="0.25">
      <c r="A157" s="92"/>
    </row>
    <row r="158" spans="1:2" x14ac:dyDescent="0.25">
      <c r="A158" s="92"/>
    </row>
    <row r="159" spans="1:2" x14ac:dyDescent="0.25">
      <c r="A159" s="91"/>
    </row>
    <row r="160" spans="1:2" x14ac:dyDescent="0.25">
      <c r="A160" s="40"/>
    </row>
  </sheetData>
  <sheetProtection algorithmName="SHA-512" hashValue="G33t0n5iOs2idGn9HKlKXYdNHtYNm3eV9v5enbwO1KFeRLT2jEVxnYOeWTHbQ3GOHNWncVDpGvmZBVPF78Gcuw==" saltValue="s+BhXXighF+qpQq4SvFQqg=="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55"/>
  <sheetViews>
    <sheetView workbookViewId="0">
      <pane ySplit="4" topLeftCell="A142" activePane="bottomLeft" state="frozenSplit"/>
      <selection pane="bottomLeft" activeCell="B163" sqref="B163"/>
    </sheetView>
  </sheetViews>
  <sheetFormatPr defaultRowHeight="15" x14ac:dyDescent="0.25"/>
  <cols>
    <col min="1" max="1" width="27" customWidth="1"/>
    <col min="2" max="2" width="17.85546875" customWidth="1"/>
    <col min="3" max="3" width="18" customWidth="1"/>
    <col min="5" max="5" width="12.42578125" customWidth="1"/>
    <col min="6" max="6" width="20.42578125" hidden="1" customWidth="1"/>
    <col min="9" max="9" width="9.140625" customWidth="1"/>
  </cols>
  <sheetData>
    <row r="1" spans="1:6" x14ac:dyDescent="0.25">
      <c r="A1" s="23" t="s">
        <v>55</v>
      </c>
      <c r="B1" s="23" t="s">
        <v>79</v>
      </c>
      <c r="E1" s="216" t="s">
        <v>203</v>
      </c>
    </row>
    <row r="2" spans="1:6" x14ac:dyDescent="0.25">
      <c r="A2" s="22" t="s">
        <v>56</v>
      </c>
      <c r="B2" s="22" t="s">
        <v>57</v>
      </c>
    </row>
    <row r="4" spans="1:6" ht="90" x14ac:dyDescent="0.25">
      <c r="A4" s="24" t="s">
        <v>0</v>
      </c>
      <c r="B4" s="20" t="s">
        <v>138</v>
      </c>
      <c r="C4" s="20" t="s">
        <v>139</v>
      </c>
      <c r="F4" s="28" t="s">
        <v>85</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6">
        <f t="shared" si="4"/>
        <v>1.7983983161785466</v>
      </c>
      <c r="J113" s="223"/>
    </row>
    <row r="114" spans="1:10" x14ac:dyDescent="0.25">
      <c r="A114" s="14">
        <v>44896</v>
      </c>
      <c r="B114" s="25">
        <v>0.13656199999999999</v>
      </c>
      <c r="C114" s="25">
        <v>0.24711</v>
      </c>
      <c r="F114" s="256">
        <f t="shared" si="4"/>
        <v>1.8095077693648307</v>
      </c>
    </row>
    <row r="115" spans="1:10" x14ac:dyDescent="0.25">
      <c r="A115" s="14">
        <v>44927</v>
      </c>
      <c r="B115" s="25">
        <v>0.22236600000000001</v>
      </c>
      <c r="C115" s="25">
        <v>0.392758</v>
      </c>
      <c r="F115" s="256">
        <f t="shared" si="4"/>
        <v>1.7662682244587751</v>
      </c>
    </row>
    <row r="116" spans="1:10" x14ac:dyDescent="0.25">
      <c r="A116" s="14">
        <v>44958</v>
      </c>
      <c r="B116" s="25">
        <v>0.190855</v>
      </c>
      <c r="C116" s="25">
        <v>0.319992</v>
      </c>
      <c r="F116" s="256">
        <f t="shared" si="4"/>
        <v>1.6766236147860942</v>
      </c>
    </row>
    <row r="117" spans="1:10" x14ac:dyDescent="0.25">
      <c r="A117" s="14">
        <v>44986</v>
      </c>
      <c r="B117" s="25">
        <v>0.19927400000000001</v>
      </c>
      <c r="C117" s="25">
        <v>0.35046500000000003</v>
      </c>
      <c r="F117" s="256">
        <f t="shared" si="4"/>
        <v>1.7587091140841256</v>
      </c>
    </row>
    <row r="118" spans="1:10" x14ac:dyDescent="0.25">
      <c r="A118" s="14">
        <v>45017</v>
      </c>
      <c r="B118" s="25">
        <v>0.23678299999999999</v>
      </c>
      <c r="C118" s="25">
        <v>0.41017100000000001</v>
      </c>
      <c r="F118" s="256">
        <f t="shared" si="4"/>
        <v>1.7322654075672663</v>
      </c>
    </row>
    <row r="119" spans="1:10" x14ac:dyDescent="0.25">
      <c r="A119" s="14">
        <v>45047</v>
      </c>
      <c r="B119" s="25">
        <v>0.21531</v>
      </c>
      <c r="C119" s="25">
        <v>0.361763</v>
      </c>
      <c r="F119" s="256">
        <f t="shared" si="4"/>
        <v>1.6801959964702058</v>
      </c>
    </row>
    <row r="120" spans="1:10" x14ac:dyDescent="0.25">
      <c r="A120" s="14">
        <v>45078</v>
      </c>
      <c r="B120" s="25">
        <v>0.29416700000000001</v>
      </c>
      <c r="C120" s="25">
        <v>0.48411900000000002</v>
      </c>
      <c r="F120" s="256">
        <f t="shared" ref="F120" si="6">C120/B120</f>
        <v>1.6457284467666327</v>
      </c>
    </row>
    <row r="121" spans="1:10" x14ac:dyDescent="0.25">
      <c r="A121" s="14">
        <v>45108</v>
      </c>
      <c r="B121" s="25">
        <v>0.22546099999999999</v>
      </c>
      <c r="C121" s="25">
        <v>0.38143899999999997</v>
      </c>
      <c r="F121" s="256">
        <f t="shared" ref="F121:F138" si="7">C121/B121</f>
        <v>1.6918180971431866</v>
      </c>
    </row>
    <row r="122" spans="1:10" x14ac:dyDescent="0.25">
      <c r="A122" s="14">
        <v>45139</v>
      </c>
      <c r="B122" s="25">
        <v>0.31855699999999998</v>
      </c>
      <c r="C122" s="25">
        <v>0.56603999999999999</v>
      </c>
      <c r="F122" s="256">
        <f t="shared" si="7"/>
        <v>1.7768876527591608</v>
      </c>
    </row>
    <row r="123" spans="1:10" x14ac:dyDescent="0.25">
      <c r="A123" s="14">
        <v>45170</v>
      </c>
      <c r="B123" s="25">
        <v>0.28491499999999997</v>
      </c>
      <c r="C123" s="25">
        <v>0.47492000000000001</v>
      </c>
      <c r="F123" s="256">
        <f t="shared" si="7"/>
        <v>1.6668831054876017</v>
      </c>
    </row>
    <row r="124" spans="1:10" x14ac:dyDescent="0.25">
      <c r="A124" s="14">
        <v>45200</v>
      </c>
      <c r="B124" s="25">
        <v>0.189442</v>
      </c>
      <c r="C124" s="25">
        <v>0.330953</v>
      </c>
      <c r="F124" s="256">
        <f t="shared" si="7"/>
        <v>1.746988524192101</v>
      </c>
    </row>
    <row r="125" spans="1:10" x14ac:dyDescent="0.25">
      <c r="A125" s="14">
        <v>45231</v>
      </c>
      <c r="B125" s="25">
        <v>0.200434</v>
      </c>
      <c r="C125" s="25">
        <v>0.35803600000000002</v>
      </c>
      <c r="F125" s="256">
        <f t="shared" si="7"/>
        <v>1.7863037209255916</v>
      </c>
    </row>
    <row r="126" spans="1:10" x14ac:dyDescent="0.25">
      <c r="A126" s="14">
        <v>45261</v>
      </c>
      <c r="B126" s="25">
        <v>0.179337</v>
      </c>
      <c r="C126" s="25">
        <v>0.31408700000000001</v>
      </c>
      <c r="F126" s="256">
        <f t="shared" si="7"/>
        <v>1.7513786892833048</v>
      </c>
    </row>
    <row r="127" spans="1:10" x14ac:dyDescent="0.25">
      <c r="A127" s="14">
        <v>45292</v>
      </c>
      <c r="B127" s="25">
        <v>0.19153300000000001</v>
      </c>
      <c r="C127" s="25">
        <v>0.33412700000000001</v>
      </c>
      <c r="F127" s="256">
        <f t="shared" si="7"/>
        <v>1.7444878950363645</v>
      </c>
    </row>
    <row r="128" spans="1:10" x14ac:dyDescent="0.25">
      <c r="A128" s="14">
        <v>45323</v>
      </c>
      <c r="B128" s="25">
        <v>0.194215</v>
      </c>
      <c r="C128" s="25">
        <v>0.33216299999999999</v>
      </c>
      <c r="F128" s="256">
        <f t="shared" si="7"/>
        <v>1.7102849934351105</v>
      </c>
    </row>
    <row r="129" spans="1:6" x14ac:dyDescent="0.25">
      <c r="A129" s="14">
        <v>45352</v>
      </c>
      <c r="B129" s="25">
        <v>0.20252700000000001</v>
      </c>
      <c r="C129" s="25">
        <v>0.34077000000000002</v>
      </c>
      <c r="F129" s="256">
        <f t="shared" si="7"/>
        <v>1.6825904694188922</v>
      </c>
    </row>
    <row r="130" spans="1:6" x14ac:dyDescent="0.25">
      <c r="A130" s="14">
        <v>45383</v>
      </c>
      <c r="B130" s="25">
        <v>0.16612399999999999</v>
      </c>
      <c r="C130" s="25">
        <v>0.28236</v>
      </c>
      <c r="F130" s="256">
        <f t="shared" si="7"/>
        <v>1.6996942043292962</v>
      </c>
    </row>
    <row r="131" spans="1:6" x14ac:dyDescent="0.25">
      <c r="A131" s="14">
        <v>45413</v>
      </c>
      <c r="B131" s="25">
        <v>0.169932</v>
      </c>
      <c r="C131" s="25">
        <v>0.28758</v>
      </c>
      <c r="F131" s="256">
        <f t="shared" si="7"/>
        <v>1.692323988418897</v>
      </c>
    </row>
    <row r="132" spans="1:6" x14ac:dyDescent="0.25">
      <c r="A132" s="14">
        <v>45444</v>
      </c>
      <c r="B132" s="25">
        <v>0.18463499999999999</v>
      </c>
      <c r="C132" s="25">
        <v>0.30538700000000002</v>
      </c>
      <c r="F132" s="256">
        <f t="shared" si="7"/>
        <v>1.6540038454247572</v>
      </c>
    </row>
    <row r="133" spans="1:6" x14ac:dyDescent="0.25">
      <c r="A133" s="14">
        <v>45474</v>
      </c>
      <c r="B133" s="25">
        <v>0.180337</v>
      </c>
      <c r="C133" s="25">
        <v>0.29386800000000002</v>
      </c>
      <c r="F133" s="256">
        <f t="shared" si="7"/>
        <v>1.6295491219217355</v>
      </c>
    </row>
    <row r="134" spans="1:6" x14ac:dyDescent="0.25">
      <c r="A134" s="14">
        <v>45505</v>
      </c>
      <c r="B134" s="25">
        <v>0.17039399999999999</v>
      </c>
      <c r="C134" s="25">
        <v>0.27133800000000002</v>
      </c>
      <c r="F134" s="256">
        <f t="shared" si="7"/>
        <v>1.5924152258882358</v>
      </c>
    </row>
    <row r="135" spans="1:6" x14ac:dyDescent="0.25">
      <c r="A135" s="14">
        <v>45536</v>
      </c>
      <c r="B135" s="25">
        <v>0.15028</v>
      </c>
      <c r="C135" s="25">
        <v>0.24710799999999999</v>
      </c>
      <c r="F135" s="256">
        <f t="shared" si="7"/>
        <v>1.6443172744210806</v>
      </c>
    </row>
    <row r="136" spans="1:6" x14ac:dyDescent="0.25">
      <c r="A136" s="14">
        <v>45566</v>
      </c>
      <c r="B136" s="25">
        <v>0.15873399999999999</v>
      </c>
      <c r="C136" s="25">
        <v>0.26858500000000002</v>
      </c>
      <c r="F136" s="256">
        <f t="shared" si="7"/>
        <v>1.6920445525218293</v>
      </c>
    </row>
    <row r="137" spans="1:6" x14ac:dyDescent="0.25">
      <c r="A137" s="14">
        <v>45597</v>
      </c>
      <c r="B137" s="25">
        <v>0.13459399999999999</v>
      </c>
      <c r="C137" s="25">
        <v>0.22809399999999999</v>
      </c>
      <c r="F137" s="256">
        <f t="shared" si="7"/>
        <v>1.6946817837347876</v>
      </c>
    </row>
    <row r="138" spans="1:6" x14ac:dyDescent="0.25">
      <c r="A138" s="14">
        <v>45627</v>
      </c>
      <c r="B138" s="25">
        <v>0.156751</v>
      </c>
      <c r="C138" s="25">
        <v>0.264677</v>
      </c>
      <c r="F138" s="256">
        <f t="shared" si="7"/>
        <v>1.6885187335328005</v>
      </c>
    </row>
    <row r="139" spans="1:6" x14ac:dyDescent="0.25">
      <c r="A139" s="14"/>
      <c r="B139" s="25"/>
      <c r="C139" s="25"/>
      <c r="F139" s="256"/>
    </row>
    <row r="140" spans="1:6" x14ac:dyDescent="0.25">
      <c r="A140" s="14"/>
      <c r="B140" s="25"/>
      <c r="C140" s="25"/>
      <c r="F140" s="256"/>
    </row>
    <row r="141" spans="1:6" x14ac:dyDescent="0.25">
      <c r="A141" s="257"/>
    </row>
    <row r="142" spans="1:6" ht="90" x14ac:dyDescent="0.25">
      <c r="A142" s="27">
        <f>Pooling_Month</f>
        <v>45658</v>
      </c>
      <c r="B142" s="20" t="s">
        <v>134</v>
      </c>
      <c r="C142" s="20" t="s">
        <v>135</v>
      </c>
    </row>
    <row r="143" spans="1:6" x14ac:dyDescent="0.25">
      <c r="A143" s="31" t="s">
        <v>60</v>
      </c>
      <c r="B143" s="32">
        <v>0.171629</v>
      </c>
      <c r="C143" s="32">
        <v>0.28275299999999998</v>
      </c>
      <c r="E143" s="30"/>
      <c r="F143" s="96">
        <f t="shared" ref="F143" si="8">C143/B143</f>
        <v>1.6474663372740037</v>
      </c>
    </row>
    <row r="144" spans="1:6" ht="18" customHeight="1" x14ac:dyDescent="0.25"/>
    <row r="145" spans="1:11" hidden="1" x14ac:dyDescent="0.25">
      <c r="E145" t="s">
        <v>195</v>
      </c>
    </row>
    <row r="146" spans="1:11" ht="30" hidden="1" x14ac:dyDescent="0.25">
      <c r="A146" s="40" t="s">
        <v>215</v>
      </c>
      <c r="B146" s="95">
        <f>B128-B126</f>
        <v>1.4878000000000002E-2</v>
      </c>
      <c r="C146" s="95">
        <f>C128-C126</f>
        <v>1.8075999999999981E-2</v>
      </c>
      <c r="F146" t="s">
        <v>190</v>
      </c>
    </row>
    <row r="147" spans="1:11" ht="15.75" hidden="1" thickBot="1" x14ac:dyDescent="0.3">
      <c r="A147" s="93" t="s">
        <v>214</v>
      </c>
      <c r="B147" s="95">
        <f>B138</f>
        <v>0.156751</v>
      </c>
      <c r="C147" s="95">
        <f>C138</f>
        <v>0.264677</v>
      </c>
      <c r="F147" s="256">
        <f t="shared" ref="F147" si="9">C147/B147</f>
        <v>1.6885187335328005</v>
      </c>
    </row>
    <row r="148" spans="1:11" ht="15.75" hidden="1" thickBot="1" x14ac:dyDescent="0.3">
      <c r="A148" s="91" t="s">
        <v>206</v>
      </c>
      <c r="B148" s="95">
        <f>SUM(B146:B147)</f>
        <v>0.171629</v>
      </c>
      <c r="C148" s="95">
        <f>SUM(C146:C147)</f>
        <v>0.28275299999999998</v>
      </c>
      <c r="E148" s="263" t="s">
        <v>205</v>
      </c>
      <c r="F148" s="264">
        <f t="shared" ref="F148:F149" si="10">C148/B148</f>
        <v>1.6474663372740037</v>
      </c>
      <c r="G148" s="265"/>
      <c r="H148" s="265"/>
      <c r="I148" s="265"/>
      <c r="J148" s="266"/>
      <c r="K148" s="267"/>
    </row>
    <row r="149" spans="1:11" hidden="1" x14ac:dyDescent="0.25">
      <c r="A149" s="92" t="s">
        <v>207</v>
      </c>
      <c r="B149" s="95">
        <f>B128</f>
        <v>0.194215</v>
      </c>
      <c r="C149" s="95">
        <f>C128</f>
        <v>0.33216299999999999</v>
      </c>
      <c r="F149" s="96">
        <f t="shared" si="10"/>
        <v>1.7102849934351105</v>
      </c>
    </row>
    <row r="150" spans="1:11" hidden="1" x14ac:dyDescent="0.25">
      <c r="A150" t="s">
        <v>84</v>
      </c>
      <c r="B150" s="95">
        <f>AVERAGE(B148:B149)</f>
        <v>0.182922</v>
      </c>
      <c r="C150" s="95">
        <f>AVERAGE(C148:C149)</f>
        <v>0.30745800000000001</v>
      </c>
      <c r="F150" s="96">
        <f>C150/B150</f>
        <v>1.6808147735100207</v>
      </c>
    </row>
    <row r="151" spans="1:11" hidden="1" x14ac:dyDescent="0.25">
      <c r="B151" s="95"/>
      <c r="C151" s="95"/>
      <c r="F151" s="96" t="e">
        <f t="shared" ref="F151" si="11">C151/B151</f>
        <v>#DIV/0!</v>
      </c>
    </row>
    <row r="152" spans="1:11" hidden="1" x14ac:dyDescent="0.25">
      <c r="A152" s="92" t="s">
        <v>208</v>
      </c>
      <c r="B152" s="95">
        <f>B116</f>
        <v>0.190855</v>
      </c>
      <c r="C152" s="95">
        <f>C116</f>
        <v>0.319992</v>
      </c>
      <c r="F152" s="97" t="e">
        <f>AVERAGE(F148:F151)</f>
        <v>#DIV/0!</v>
      </c>
    </row>
    <row r="153" spans="1:11" hidden="1" x14ac:dyDescent="0.25">
      <c r="A153" s="91" t="s">
        <v>209</v>
      </c>
      <c r="B153" s="25">
        <f>B105</f>
        <v>0.18077299999999999</v>
      </c>
      <c r="C153" s="25">
        <f>C105</f>
        <v>0.32190600000000003</v>
      </c>
    </row>
    <row r="154" spans="1:11" ht="30" hidden="1" x14ac:dyDescent="0.25">
      <c r="A154" s="40" t="s">
        <v>210</v>
      </c>
      <c r="B154" s="25">
        <f>AVERAGE(B148,B149,B152,B153)</f>
        <v>0.184368</v>
      </c>
      <c r="C154" s="25">
        <f>AVERAGE(C148,C149,C152,C153)</f>
        <v>0.31420350000000002</v>
      </c>
      <c r="F154" s="96">
        <f>C154/B154</f>
        <v>1.7042192788336372</v>
      </c>
    </row>
    <row r="155" spans="1:11" hidden="1" x14ac:dyDescent="0.25">
      <c r="A155" s="40" t="s">
        <v>211</v>
      </c>
      <c r="B155" s="25">
        <f>AVERAGE(B148,B149,B152)</f>
        <v>0.18556633333333336</v>
      </c>
      <c r="C155" s="25">
        <f>AVERAGE(C148,C149,C152)</f>
        <v>0.31163600000000002</v>
      </c>
      <c r="F155" s="96">
        <f>C155/B155</f>
        <v>1.6793779043971697</v>
      </c>
    </row>
  </sheetData>
  <sheetProtection algorithmName="SHA-512" hashValue="r2DQv5bvANG7XQnHZvm7BOzVdLsqfs3C715IMlpF7AkAiKTk6r3MWbNgEdlDZ6p6ORXA2PsANpDXZ7ZJuHCdaQ==" saltValue="WTtG7DcKyH8fsoUw4vGnW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2025-01-23T20:50:10Z</dcterms:modified>
</cp:coreProperties>
</file>