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4\"/>
    </mc:Choice>
  </mc:AlternateContent>
  <xr:revisionPtr revIDLastSave="0" documentId="13_ncr:1_{38151EB9-F06A-4CDC-A733-3FC48952439A}" xr6:coauthVersionLast="47" xr6:coauthVersionMax="47" xr10:uidLastSave="{00000000-0000-0000-0000-000000000000}"/>
  <bookViews>
    <workbookView xWindow="-120" yWindow="-120" windowWidth="29040" windowHeight="15840" tabRatio="811" firstSheet="1" activeTab="1" xr2:uid="{00000000-000D-0000-FFFF-FFFF00000000}"/>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Rec'!$B$138</definedName>
    <definedName name="EstClsIBFUtPerc">'Monthly Utilization by Class'!$B$117</definedName>
    <definedName name="EstClsIIBFUtPerc">'Monthly Utilization by Class'!$C$117</definedName>
    <definedName name="EstClsIIIBFUtPerc">'Monthly Utilization by Class'!$D$117</definedName>
    <definedName name="EstClsIIISkimUtPerc">'Monthly Utilization by Class'!$J$117</definedName>
    <definedName name="EstClsIISkimUTPerc">'Monthly Utilization by Class'!$I$117</definedName>
    <definedName name="EstClsIPckgSurpPoolBFUtPerc">'Percent Cls I Package Surplus'!$B$141</definedName>
    <definedName name="EstClsIPckgSurpPoolSkimUtPerc">'Percent Cls I Package Surplus'!$C$141</definedName>
    <definedName name="EstClsISkimUtPerc">'Monthly Utilization by Class'!$H$117</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Contiguous'!$B$115</definedName>
    <definedName name="PoolButterfatPercent">'Monthly Pool Butterfat Percent'!$B$138</definedName>
    <definedName name="PoolDailyProd">'Monthly Avg Daily Production'!$B$138</definedName>
    <definedName name="Pooling_Month">'Quota Price Estimator'!$B$4</definedName>
    <definedName name="PoolOverQuotaProdPerc">'Monthly Excess Milk Percentage'!$B$138</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4" i="8" l="1"/>
  <c r="B121" i="8"/>
  <c r="B119" i="8"/>
  <c r="B118" i="8"/>
  <c r="C151" i="6"/>
  <c r="B151" i="6"/>
  <c r="C150" i="6"/>
  <c r="B150" i="6"/>
  <c r="C147" i="6"/>
  <c r="C145" i="6"/>
  <c r="B147" i="6"/>
  <c r="B145" i="6"/>
  <c r="C144" i="6"/>
  <c r="B144" i="6"/>
  <c r="B141" i="5"/>
  <c r="B146" i="5"/>
  <c r="B145" i="5"/>
  <c r="B144" i="5"/>
  <c r="B142" i="5"/>
  <c r="B144" i="4"/>
  <c r="B142" i="4"/>
  <c r="B141" i="4"/>
  <c r="B148" i="3"/>
  <c r="B147" i="3"/>
  <c r="B144" i="3"/>
  <c r="B142" i="3"/>
  <c r="B141" i="3"/>
  <c r="H129" i="2"/>
  <c r="C126" i="2"/>
  <c r="D126" i="2"/>
  <c r="E126" i="2"/>
  <c r="H126" i="2"/>
  <c r="I126" i="2"/>
  <c r="J126" i="2"/>
  <c r="K126" i="2"/>
  <c r="C127" i="2"/>
  <c r="D127" i="2"/>
  <c r="E127" i="2"/>
  <c r="H127" i="2"/>
  <c r="I127" i="2"/>
  <c r="J127" i="2"/>
  <c r="K127" i="2"/>
  <c r="C123" i="2"/>
  <c r="D123" i="2"/>
  <c r="E123" i="2"/>
  <c r="H123" i="2"/>
  <c r="I123" i="2"/>
  <c r="J123" i="2"/>
  <c r="K123" i="2"/>
  <c r="C122" i="2"/>
  <c r="C128" i="2" s="1"/>
  <c r="D122" i="2"/>
  <c r="D128" i="2" s="1"/>
  <c r="E122" i="2"/>
  <c r="E128" i="2" s="1"/>
  <c r="H122" i="2"/>
  <c r="H128" i="2" s="1"/>
  <c r="I122" i="2"/>
  <c r="I124" i="2" s="1"/>
  <c r="J122" i="2"/>
  <c r="J129" i="2" s="1"/>
  <c r="K122" i="2"/>
  <c r="K129" i="2" s="1"/>
  <c r="C121" i="2"/>
  <c r="D121" i="2"/>
  <c r="E121" i="2"/>
  <c r="H121" i="2"/>
  <c r="I121" i="2"/>
  <c r="J121" i="2"/>
  <c r="K121" i="2"/>
  <c r="C120" i="2"/>
  <c r="D120" i="2"/>
  <c r="E120" i="2"/>
  <c r="H120" i="2"/>
  <c r="I120" i="2"/>
  <c r="J120" i="2"/>
  <c r="K120" i="2"/>
  <c r="B127" i="2"/>
  <c r="B126" i="2"/>
  <c r="B123" i="2"/>
  <c r="B121" i="2"/>
  <c r="B120" i="2"/>
  <c r="F136" i="6"/>
  <c r="K111" i="2"/>
  <c r="E111" i="2"/>
  <c r="I129" i="2" l="1"/>
  <c r="C129" i="2"/>
  <c r="E124" i="2"/>
  <c r="K128" i="2"/>
  <c r="D129" i="2"/>
  <c r="H124" i="2"/>
  <c r="D124" i="2"/>
  <c r="J128" i="2"/>
  <c r="C124" i="2"/>
  <c r="I128" i="2"/>
  <c r="K124" i="2"/>
  <c r="J124" i="2"/>
  <c r="E129" i="2"/>
  <c r="B148" i="7" l="1"/>
  <c r="B147" i="7"/>
  <c r="B144" i="7"/>
  <c r="B142" i="7"/>
  <c r="B141" i="7"/>
  <c r="F135" i="6" l="1"/>
  <c r="H110" i="2"/>
  <c r="K110" i="2" s="1"/>
  <c r="E110" i="2"/>
  <c r="F134" i="6"/>
  <c r="K109" i="2"/>
  <c r="E109" i="2"/>
  <c r="A2" i="11"/>
  <c r="F133" i="6" l="1"/>
  <c r="K108" i="2"/>
  <c r="E108" i="2"/>
  <c r="B5" i="1"/>
  <c r="G15" i="10" s="1"/>
  <c r="C146" i="6"/>
  <c r="C148" i="6" s="1"/>
  <c r="F132" i="6"/>
  <c r="K107" i="2"/>
  <c r="E107" i="2"/>
  <c r="F131" i="6"/>
  <c r="H106" i="2"/>
  <c r="E106" i="2"/>
  <c r="K106" i="2"/>
  <c r="F130" i="6"/>
  <c r="K105" i="2"/>
  <c r="B105" i="2"/>
  <c r="E105" i="2"/>
  <c r="B143" i="3"/>
  <c r="B149" i="3" s="1"/>
  <c r="B143" i="5"/>
  <c r="B147" i="5" s="1"/>
  <c r="B143" i="4"/>
  <c r="B145" i="4" s="1"/>
  <c r="M127" i="2"/>
  <c r="O126" i="2"/>
  <c r="B122" i="2"/>
  <c r="F129" i="6"/>
  <c r="K104" i="2"/>
  <c r="E104" i="2"/>
  <c r="A2" i="1"/>
  <c r="A2" i="10"/>
  <c r="B143" i="7"/>
  <c r="B150" i="7" s="1"/>
  <c r="F147" i="6"/>
  <c r="F128" i="6"/>
  <c r="B120" i="8"/>
  <c r="B125" i="8" s="1"/>
  <c r="B103" i="2"/>
  <c r="E103" i="2"/>
  <c r="K103" i="2"/>
  <c r="F127" i="6"/>
  <c r="K102" i="2"/>
  <c r="E102" i="2"/>
  <c r="F126" i="6"/>
  <c r="K101" i="2"/>
  <c r="E101" i="2"/>
  <c r="F125" i="6"/>
  <c r="K100" i="2"/>
  <c r="E100" i="2"/>
  <c r="B146" i="6"/>
  <c r="B152" i="6" s="1"/>
  <c r="F124" i="6"/>
  <c r="K99" i="2"/>
  <c r="E99" i="2"/>
  <c r="F145" i="6"/>
  <c r="F123" i="6"/>
  <c r="E98" i="2"/>
  <c r="K98" i="2"/>
  <c r="F122" i="6"/>
  <c r="H87" i="2"/>
  <c r="K87" i="2"/>
  <c r="K97" i="2"/>
  <c r="E97" i="2"/>
  <c r="D27" i="1"/>
  <c r="B59" i="11" s="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K89" i="2"/>
  <c r="B89" i="2"/>
  <c r="E89" i="2"/>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17" i="2"/>
  <c r="K66" i="2"/>
  <c r="E66" i="2"/>
  <c r="F90" i="6"/>
  <c r="K65" i="2"/>
  <c r="E65" i="2"/>
  <c r="F89" i="6"/>
  <c r="K64" i="2"/>
  <c r="E64" i="2"/>
  <c r="F88" i="6"/>
  <c r="K63" i="2"/>
  <c r="E63" i="2"/>
  <c r="F87" i="6"/>
  <c r="K62" i="2"/>
  <c r="E62" i="2"/>
  <c r="F86" i="6"/>
  <c r="K61" i="2"/>
  <c r="E61" i="2"/>
  <c r="F85" i="6"/>
  <c r="K60" i="2"/>
  <c r="E60" i="2"/>
  <c r="F84" i="6"/>
  <c r="K59" i="2"/>
  <c r="E59" i="2"/>
  <c r="F141" i="6"/>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K117" i="2"/>
  <c r="Q117" i="2" s="1"/>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37" i="3"/>
  <c r="K3" i="2"/>
  <c r="E3" i="2"/>
  <c r="A137" i="7"/>
  <c r="A114" i="8"/>
  <c r="A140" i="6"/>
  <c r="A137" i="5"/>
  <c r="A137" i="4"/>
  <c r="G116" i="2"/>
  <c r="A116" i="2"/>
  <c r="B23" i="11"/>
  <c r="B18" i="11"/>
  <c r="B17" i="11"/>
  <c r="B16" i="11"/>
  <c r="B12" i="11"/>
  <c r="B11" i="11"/>
  <c r="B13" i="11" s="1"/>
  <c r="B10" i="11"/>
  <c r="B7" i="11"/>
  <c r="B6" i="11"/>
  <c r="B5" i="11"/>
  <c r="H42" i="1"/>
  <c r="I18" i="1"/>
  <c r="B50" i="11" s="1"/>
  <c r="I16" i="1"/>
  <c r="B48" i="11" s="1"/>
  <c r="I17" i="1"/>
  <c r="B49" i="11" s="1"/>
  <c r="H18" i="1"/>
  <c r="B46" i="11" s="1"/>
  <c r="H17" i="1"/>
  <c r="B45" i="11" s="1"/>
  <c r="H16" i="1"/>
  <c r="B44" i="11" s="1"/>
  <c r="B8" i="1"/>
  <c r="I34" i="1" s="1"/>
  <c r="B7" i="1"/>
  <c r="B67" i="1" s="1"/>
  <c r="B76" i="1" s="1"/>
  <c r="B80" i="1" s="1"/>
  <c r="B6" i="1"/>
  <c r="G14" i="10"/>
  <c r="H14" i="10" s="1"/>
  <c r="B19" i="10"/>
  <c r="B18" i="10"/>
  <c r="I42" i="1"/>
  <c r="B24" i="11"/>
  <c r="F149" i="6"/>
  <c r="O123" i="2"/>
  <c r="O121" i="2"/>
  <c r="M121" i="2"/>
  <c r="E91" i="2"/>
  <c r="O127" i="2"/>
  <c r="M123" i="2"/>
  <c r="M126" i="2"/>
  <c r="B148" i="6" l="1"/>
  <c r="F148" i="6" s="1"/>
  <c r="H34" i="1"/>
  <c r="D34" i="1"/>
  <c r="B21" i="11"/>
  <c r="B145" i="7"/>
  <c r="B149" i="7"/>
  <c r="F46" i="1"/>
  <c r="F47" i="1" s="1"/>
  <c r="B122" i="8"/>
  <c r="C152" i="6"/>
  <c r="F152" i="6" s="1"/>
  <c r="F146" i="6"/>
  <c r="B153" i="6"/>
  <c r="B42" i="11"/>
  <c r="C34" i="1"/>
  <c r="B148" i="5"/>
  <c r="B19" i="11"/>
  <c r="I19" i="1"/>
  <c r="M122" i="2"/>
  <c r="O122" i="2"/>
  <c r="B124" i="2"/>
  <c r="B128" i="2"/>
  <c r="B129" i="2"/>
  <c r="C153" i="6"/>
  <c r="B150" i="3"/>
  <c r="B145" i="3"/>
  <c r="B40" i="11"/>
  <c r="B77" i="1"/>
  <c r="B82" i="1" s="1"/>
  <c r="B83" i="1" s="1"/>
  <c r="H19" i="1"/>
  <c r="G34" i="10"/>
  <c r="G37" i="10"/>
  <c r="G36" i="10"/>
  <c r="G38" i="10"/>
  <c r="G35" i="10"/>
  <c r="G39" i="10"/>
  <c r="G28" i="10"/>
  <c r="B13" i="1"/>
  <c r="H15" i="10"/>
  <c r="I15" i="10" s="1"/>
  <c r="G13" i="10"/>
  <c r="I14" i="10"/>
  <c r="F89" i="1"/>
  <c r="F83" i="1"/>
  <c r="P91" i="1"/>
  <c r="H89" i="1" s="1"/>
  <c r="G89" i="1"/>
  <c r="G91" i="1" s="1"/>
  <c r="I13" i="10" l="1"/>
  <c r="H13" i="10"/>
  <c r="F150" i="6"/>
  <c r="F153" i="6"/>
  <c r="B85" i="1"/>
  <c r="B88" i="1"/>
  <c r="B12" i="1"/>
  <c r="B38" i="11"/>
  <c r="C13" i="1"/>
  <c r="H83" i="1"/>
  <c r="H91" i="1" s="1"/>
  <c r="F91" i="1"/>
  <c r="K83" i="1"/>
  <c r="J83" i="1"/>
  <c r="L83" i="1" l="1"/>
  <c r="B89" i="1"/>
  <c r="K89" i="1" s="1"/>
  <c r="K91" i="1" s="1"/>
  <c r="F59" i="1" s="1"/>
  <c r="B56"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5" i="11" s="1"/>
  <c r="B52" i="11" l="1"/>
  <c r="B45" i="1"/>
  <c r="B50" i="1" s="1"/>
  <c r="B18" i="1"/>
  <c r="B24" i="1"/>
  <c r="D19" i="1"/>
  <c r="D22" i="1"/>
  <c r="D25" i="1" s="1"/>
  <c r="C25" i="1"/>
  <c r="C30" i="1" s="1"/>
  <c r="B59" i="1"/>
  <c r="B23" i="1"/>
  <c r="B17" i="1"/>
  <c r="B19" i="1" l="1"/>
  <c r="B22" i="1"/>
  <c r="B25" i="1" s="1"/>
  <c r="D29" i="1"/>
  <c r="B57" i="11"/>
  <c r="H33" i="1"/>
  <c r="H35" i="1" s="1"/>
  <c r="C33" i="1"/>
  <c r="C35" i="1" s="1"/>
  <c r="B46" i="1"/>
  <c r="B51" i="1" s="1"/>
  <c r="B52" i="1" s="1"/>
  <c r="D28" i="1" l="1"/>
  <c r="D30" i="1" s="1"/>
  <c r="B53" i="11"/>
  <c r="H18" i="10"/>
  <c r="C9" i="10"/>
  <c r="B35" i="11" s="1"/>
  <c r="H19" i="10"/>
  <c r="C10" i="10"/>
  <c r="D33" i="1" l="1"/>
  <c r="D35" i="1" s="1"/>
  <c r="I33" i="1"/>
  <c r="I35" i="1" s="1"/>
  <c r="B30" i="1"/>
  <c r="B61" i="11" s="1"/>
  <c r="H20" i="10"/>
  <c r="B20" i="10"/>
  <c r="I19" i="10" l="1"/>
  <c r="G19" i="10" s="1"/>
  <c r="D10" i="10"/>
  <c r="B10" i="10"/>
  <c r="G10" i="10"/>
  <c r="I18" i="10"/>
  <c r="B9" i="10"/>
  <c r="B34" i="11" s="1"/>
  <c r="D9" i="10"/>
  <c r="B36"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<sst xmlns="http://schemas.openxmlformats.org/spreadsheetml/2006/main" count="348" uniqueCount="214">
  <si>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</si>
  <si>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</si>
  <si>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</si>
  <si>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</si>
  <si>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</si>
  <si>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</si>
  <si>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</si>
  <si>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</si>
  <si>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</si>
  <si>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</si>
  <si>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</si>
  <si>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</si>
  <si>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</si>
  <si>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</si>
  <si>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</si>
  <si>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</si>
  <si>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</si>
  <si>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</si>
  <si>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</si>
  <si>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</si>
  <si>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</si>
  <si>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</si>
  <si>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</si>
  <si>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</si>
  <si>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</si>
  <si>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</si>
  <si>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</si>
  <si>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</si>
  <si>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</si>
  <si>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</si>
  <si>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</si>
  <si>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</si>
  <si>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</si>
  <si>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</si>
  <si>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</si>
  <si>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</si>
  <si>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</si>
  <si>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</si>
  <si>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</si>
  <si>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</si>
  <si>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</si>
  <si>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</si>
  <si>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</si>
  <si>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</si>
  <si>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</si>
  <si>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</si>
  <si>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</si>
  <si>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</si>
  <si>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</si>
  <si>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</si>
  <si>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</si>
  <si>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</si>
  <si>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</si>
  <si>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</si>
  <si>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</si>
  <si>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</si>
  <si>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</si>
  <si>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</si>
  <si>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</si>
  <si>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</si>
  <si>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</si>
  <si>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</si>
  <si>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</si>
  <si>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</si>
  <si>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</si>
  <si>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</si>
  <si>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</si>
  <si>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</si>
  <si>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</si>
  <si>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</si>
  <si>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</si>
  <si>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</si>
  <si>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</si>
  <si>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</si>
  <si>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</si>
  <si>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</si>
  <si>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</si>
  <si>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</si>
  <si>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</si>
  <si>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</si>
  <si>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</si>
  <si>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</si>
  <si>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t>
    </r>
  </si>
  <si>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</si>
  <si>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</si>
  <si>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</si>
  <si>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</si>
  <si>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</si>
  <si>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</si>
  <si>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</si>
  <si>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</si>
  <si>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</si>
  <si>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</si>
  <si>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</si>
  <si>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</si>
  <si>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</si>
  <si>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</si>
  <si>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</si>
  <si>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</si>
  <si>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</si>
  <si>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</si>
  <si>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</si>
  <si>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</si>
  <si>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</si>
  <si>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</si>
  <si>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</si>
  <si>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</si>
  <si>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</si>
  <si>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</si>
  <si>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</si>
  <si>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</si>
  <si>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</si>
  <si>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</si>
  <si>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</si>
  <si>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</si>
  <si>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</si>
  <si>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</si>
  <si>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</si>
  <si>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</si>
  <si>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</si>
  <si>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</si>
  <si>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</si>
  <si>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</si>
  <si>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</si>
  <si>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</si>
  <si>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</si>
  <si>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</si>
  <si>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</si>
  <si>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</si>
  <si>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</si>
  <si>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</si>
  <si>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</si>
  <si>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</si>
  <si>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</si>
  <si>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</si>
  <si>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</si>
  <si>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</si>
  <si>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</si>
  <si>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</si>
  <si>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</si>
  <si>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</si>
  <si>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</si>
  <si>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</si>
  <si>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</si>
  <si>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</si>
  <si>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</si>
  <si>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</si>
  <si>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</si>
  <si>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</si>
  <si>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</si>
  <si>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</si>
  <si>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</si>
  <si>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</si>
  <si>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</si>
  <si>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</si>
  <si>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</si>
  <si>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</si>
  <si>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</si>
  <si>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</si>
  <si>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</si>
  <si>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</si>
  <si>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</si>
  <si>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</si>
  <si>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</si>
  <si>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</si>
  <si>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</si>
  <si>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</si>
  <si>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</si>
  <si>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</si>
  <si>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</si>
  <si>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</si>
  <si>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</si>
  <si>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</si>
  <si>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</si>
  <si>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</si>
  <si>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</si>
  <si>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</si>
  <si>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</si>
  <si>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</si>
  <si>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</si>
  <si>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</si>
  <si>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</si>
  <si>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</si>
  <si>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</si>
  <si>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</si>
  <si>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</si>
  <si>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</si>
  <si>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</si>
  <si>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</si>
  <si>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</si>
  <si>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</si>
  <si>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</si>
  <si>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</si>
  <si>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</si>
  <si>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</si>
  <si>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</si>
  <si>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</si>
  <si>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</si>
  <si>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</si>
  <si>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</si>
  <si>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</si>
  <si>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Note:  December 2015 - December 2017 are recalculated figures that reflect percentages that would have existed if rules in effect on Aug. 1, 2017  were in effect in the past</t>
  </si>
  <si>
    <t>Est December 2024</t>
  </si>
  <si>
    <t>December 2023</t>
  </si>
  <si>
    <t>December 2022</t>
  </si>
  <si>
    <t>December 2021</t>
  </si>
  <si>
    <t>Ave:  December 24 Est, 23, 22, 21</t>
  </si>
  <si>
    <t>Ave:  December 24 Est, 23, 22</t>
  </si>
  <si>
    <t>Note:  Novober 2015 - December 2017 are recalculated figures that reflect percentages that would have existed if rules in effect on Aug. 1, 2017  were in effect in the past</t>
  </si>
  <si>
    <t>Note:  December 2015 - July 2017 are recalculated figures that reflect percentages that would have existed if rules in effect on Aug. 1, 2017  were in effect in the past</t>
  </si>
  <si>
    <t>Will use 0.0% for Est December 2024.  February 2024 was the only time there has been bulk surplus since December 2023. This Feb load was sent out-of state because of a refrigeration issue. 3/19/24 ms</t>
  </si>
  <si>
    <t>December 2023 - October 2023 Delta</t>
  </si>
  <si>
    <t>October 2024</t>
  </si>
  <si>
    <t>Instead of the averages in cells B146 &amp; C146, Used the Average of October 2023 to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</si>
</sst>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5">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election activeCell="A6" sqref="A6"/>
    </sheetView>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26"/>
  <sheetViews>
    <sheetView zoomScaleNormal="100" workbookViewId="0">
      <pane ySplit="1" topLeftCell="A102" activePane="bottomLeft" state="frozen"/>
      <selection pane="bottomLeft" activeCell="A118" sqref="A118:XFD126"/>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136</v>
      </c>
      <c r="E1" s="4"/>
    </row>
    <row r="2" spans="1:5" hidden="1" x14ac:dyDescent="0.25">
      <c r="A2" s="15">
        <v>42278</v>
      </c>
      <c r="B2" s="25">
        <v>0.30533199999999999</v>
      </c>
      <c r="D2" s="216" t="s">
        <v>209</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v>45536</v>
      </c>
      <c r="B109" s="25">
        <v>0.41731499999999999</v>
      </c>
    </row>
    <row r="110" spans="1:2" x14ac:dyDescent="0.25">
      <c r="A110" s="15">
        <v>45566</v>
      </c>
      <c r="B110" s="25">
        <v>0.41150399999999998</v>
      </c>
    </row>
    <row r="111" spans="1:2" x14ac:dyDescent="0.25">
      <c r="A111" s="15"/>
      <c r="B111" s="25"/>
    </row>
    <row r="112" spans="1:2" x14ac:dyDescent="0.25">
      <c r="A112" s="15"/>
      <c r="B112" s="25"/>
    </row>
    <row r="113" spans="1:17" x14ac:dyDescent="0.25">
      <c r="A113" s="15"/>
      <c r="B113" s="25"/>
    </row>
    <row r="114" spans="1:17" ht="75" x14ac:dyDescent="0.25">
      <c r="A114" s="27">
        <f>Pooling_Month</f>
        <v>45627</v>
      </c>
      <c r="B114" s="20" t="s">
        <v>137</v>
      </c>
    </row>
    <row r="115" spans="1:17" x14ac:dyDescent="0.25">
      <c r="A115" s="31" t="s">
        <v>60</v>
      </c>
      <c r="B115" s="261">
        <v>0.40192699999999998</v>
      </c>
    </row>
    <row r="116" spans="1:17" ht="13.5" customHeight="1" x14ac:dyDescent="0.25"/>
    <row r="118" spans="1:17" ht="30" hidden="1" x14ac:dyDescent="0.25">
      <c r="A118" s="40" t="s">
        <v>211</v>
      </c>
      <c r="B118" s="95">
        <f>B100-B98</f>
        <v>-9.5770000000000022E-3</v>
      </c>
    </row>
    <row r="119" spans="1:17" hidden="1" x14ac:dyDescent="0.25">
      <c r="A119" s="93" t="s">
        <v>212</v>
      </c>
      <c r="B119" s="95">
        <f>B110</f>
        <v>0.41150399999999998</v>
      </c>
      <c r="J119" t="s">
        <v>196</v>
      </c>
    </row>
    <row r="120" spans="1:17" hidden="1" x14ac:dyDescent="0.25">
      <c r="A120" s="91" t="s">
        <v>202</v>
      </c>
      <c r="B120" s="95">
        <f>SUM(B118:B119)</f>
        <v>0.40192699999999998</v>
      </c>
      <c r="C120" s="3"/>
      <c r="D120" s="3"/>
      <c r="E120" s="3"/>
      <c r="F120" s="3"/>
      <c r="G120" s="3"/>
      <c r="H120" s="3"/>
      <c r="I120" s="3"/>
      <c r="J120" s="3"/>
      <c r="K120" s="3"/>
      <c r="L120" s="3"/>
      <c r="M120" s="3"/>
      <c r="N120" s="3"/>
      <c r="O120" s="3"/>
      <c r="P120" s="3"/>
      <c r="Q120" s="3"/>
    </row>
    <row r="121" spans="1:17" hidden="1" x14ac:dyDescent="0.25">
      <c r="A121" s="92" t="s">
        <v>203</v>
      </c>
      <c r="B121" s="95">
        <f>B100</f>
        <v>0.30130299999999999</v>
      </c>
      <c r="C121" s="3"/>
      <c r="D121" s="3"/>
      <c r="E121" s="3"/>
      <c r="F121" s="3"/>
      <c r="G121" s="3"/>
      <c r="H121" s="3"/>
      <c r="I121" s="3"/>
      <c r="J121" s="3"/>
      <c r="K121" s="3"/>
      <c r="L121" s="3"/>
      <c r="M121" s="3"/>
      <c r="N121" s="3"/>
      <c r="O121" s="3"/>
      <c r="P121" s="3"/>
      <c r="Q121" s="3"/>
    </row>
    <row r="122" spans="1:17" hidden="1" x14ac:dyDescent="0.25">
      <c r="A122" t="s">
        <v>84</v>
      </c>
      <c r="B122" s="25">
        <f>AVERAGE(B120:B121)</f>
        <v>0.35161500000000001</v>
      </c>
    </row>
    <row r="123" spans="1:17" hidden="1" x14ac:dyDescent="0.25"/>
    <row r="124" spans="1:17" hidden="1" x14ac:dyDescent="0.25">
      <c r="A124" s="92" t="s">
        <v>204</v>
      </c>
      <c r="B124" s="25">
        <f>B88</f>
        <v>0.13514499999999999</v>
      </c>
    </row>
    <row r="125" spans="1:17" hidden="1" x14ac:dyDescent="0.25">
      <c r="A125" t="s">
        <v>86</v>
      </c>
      <c r="B125" s="25">
        <f>AVERAGE(B120:B121,B124)</f>
        <v>0.27945833333333331</v>
      </c>
    </row>
    <row r="126" spans="1:17" hidden="1" x14ac:dyDescent="0.25"/>
  </sheetData>
  <sheetProtection algorithmName="SHA-512" hashValue="g6PF5wfJDHprzwglQVhwgHQXyDgQXUNua+RgaddTLElTKARPCNUGC3XO68JgidQI06o+qetmWd/AimIbsf9/Rw==" saltValue="XKcCQBW8VQZlTJSSEuaf6w=="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155"/>
  <sheetViews>
    <sheetView workbookViewId="0">
      <pane ySplit="1" topLeftCell="A130" activePane="bottomLeft" state="frozen"/>
      <selection pane="bottomLeft" activeCell="J156" sqref="J156"/>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141</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3" x14ac:dyDescent="0.25">
      <c r="A129" s="14">
        <v>45444</v>
      </c>
      <c r="B129" s="25">
        <v>0</v>
      </c>
    </row>
    <row r="130" spans="1:3" x14ac:dyDescent="0.25">
      <c r="A130" s="14">
        <v>45474</v>
      </c>
      <c r="B130" s="25">
        <v>0</v>
      </c>
    </row>
    <row r="131" spans="1:3" x14ac:dyDescent="0.25">
      <c r="A131" s="14">
        <v>45505</v>
      </c>
      <c r="B131" s="25">
        <v>0</v>
      </c>
    </row>
    <row r="132" spans="1:3" x14ac:dyDescent="0.25">
      <c r="A132" s="14">
        <v>45536</v>
      </c>
      <c r="B132" s="25">
        <v>0</v>
      </c>
    </row>
    <row r="133" spans="1:3" x14ac:dyDescent="0.25">
      <c r="A133" s="14">
        <v>45566</v>
      </c>
      <c r="B133" s="25">
        <v>0</v>
      </c>
    </row>
    <row r="134" spans="1:3" x14ac:dyDescent="0.25">
      <c r="A134" s="14"/>
      <c r="B134" s="25"/>
    </row>
    <row r="135" spans="1:3" x14ac:dyDescent="0.25">
      <c r="A135" s="14"/>
      <c r="B135" s="25"/>
    </row>
    <row r="136" spans="1:3" x14ac:dyDescent="0.25">
      <c r="A136" s="14"/>
      <c r="B136" s="25"/>
    </row>
    <row r="137" spans="1:3" ht="75" x14ac:dyDescent="0.25">
      <c r="A137" s="27">
        <f>Pooling_Month</f>
        <v>45627</v>
      </c>
      <c r="B137" s="20" t="s">
        <v>140</v>
      </c>
    </row>
    <row r="138" spans="1:3" x14ac:dyDescent="0.25">
      <c r="A138" s="31" t="s">
        <v>60</v>
      </c>
      <c r="B138" s="32">
        <v>0</v>
      </c>
    </row>
    <row r="139" spans="1:3" ht="15.75" customHeight="1" x14ac:dyDescent="0.25"/>
    <row r="140" spans="1:3" hidden="1" x14ac:dyDescent="0.25">
      <c r="C140" t="s">
        <v>197</v>
      </c>
    </row>
    <row r="141" spans="1:3" ht="30" hidden="1" x14ac:dyDescent="0.25">
      <c r="A141" s="40" t="s">
        <v>211</v>
      </c>
      <c r="B141" s="95">
        <f>B122-B120</f>
        <v>0</v>
      </c>
    </row>
    <row r="142" spans="1:3" hidden="1" x14ac:dyDescent="0.25">
      <c r="A142" s="93" t="s">
        <v>212</v>
      </c>
      <c r="B142" s="95">
        <f>B132</f>
        <v>0</v>
      </c>
    </row>
    <row r="143" spans="1:3" hidden="1" x14ac:dyDescent="0.25">
      <c r="A143" s="91" t="s">
        <v>202</v>
      </c>
      <c r="B143" s="95">
        <f>SUM(B141:B142)</f>
        <v>0</v>
      </c>
      <c r="C143" t="s">
        <v>210</v>
      </c>
    </row>
    <row r="144" spans="1:3" hidden="1" x14ac:dyDescent="0.25">
      <c r="A144" s="92" t="s">
        <v>203</v>
      </c>
      <c r="B144" s="95">
        <f>B122</f>
        <v>0</v>
      </c>
      <c r="C144" t="s">
        <v>198</v>
      </c>
    </row>
    <row r="145" spans="1:4" hidden="1" x14ac:dyDescent="0.25">
      <c r="A145" t="s">
        <v>84</v>
      </c>
      <c r="B145" s="95">
        <f>AVERAGE(B143:B144)</f>
        <v>0</v>
      </c>
    </row>
    <row r="146" spans="1:4" hidden="1" x14ac:dyDescent="0.25">
      <c r="B146" s="95"/>
    </row>
    <row r="147" spans="1:4" hidden="1" x14ac:dyDescent="0.25">
      <c r="A147" s="92" t="s">
        <v>204</v>
      </c>
      <c r="B147" s="95">
        <f>B110</f>
        <v>3.9620000000000002E-3</v>
      </c>
    </row>
    <row r="148" spans="1:4" hidden="1" x14ac:dyDescent="0.25">
      <c r="A148" s="91" t="s">
        <v>205</v>
      </c>
      <c r="B148" s="25">
        <f>B98</f>
        <v>1.3951E-2</v>
      </c>
    </row>
    <row r="149" spans="1:4" ht="30" hidden="1" x14ac:dyDescent="0.25">
      <c r="A149" s="40" t="s">
        <v>206</v>
      </c>
      <c r="B149" s="25">
        <f>AVERAGE(B143,B144,B147,B148)</f>
        <v>4.4782499999999996E-3</v>
      </c>
    </row>
    <row r="150" spans="1:4" hidden="1" x14ac:dyDescent="0.25">
      <c r="A150" s="40" t="s">
        <v>207</v>
      </c>
      <c r="B150" s="25">
        <f>AVERAGE(B143,B144,B147)</f>
        <v>1.3206666666666668E-3</v>
      </c>
    </row>
    <row r="155" spans="1:4" x14ac:dyDescent="0.25">
      <c r="D155" s="218"/>
    </row>
  </sheetData>
  <sheetProtection algorithmName="SHA-512" hashValue="r8zfwdII0/TeN0mzfn28G/pe0Ha4Ajq5+Syk9vN55W5+y2oJyTBxPg+un5QWjW6fwJvuzR+T6bjztEUxx3pHwA==" saltValue="GvDRdgzioMrbhvxHZ0+JX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I51"/>
  <sheetViews>
    <sheetView tabSelected="1" topLeftCell="A4" zoomScale="70" zoomScaleNormal="70" workbookViewId="0">
      <selection activeCell="Q19" sqref="Q19"/>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4" t="s">
        <v>59</v>
      </c>
      <c r="B1" s="274"/>
      <c r="C1" s="274"/>
      <c r="D1" s="274"/>
      <c r="E1" s="274"/>
      <c r="F1" s="274"/>
      <c r="G1" s="274"/>
      <c r="H1" s="274"/>
      <c r="I1" s="274"/>
    </row>
    <row r="2" spans="1:9" ht="23.25" x14ac:dyDescent="0.35">
      <c r="A2" s="273">
        <f>'Quota Price Estimator'!B4</f>
        <v>45627</v>
      </c>
      <c r="B2" s="273"/>
      <c r="C2" s="273"/>
      <c r="D2" s="273"/>
      <c r="E2" s="273"/>
      <c r="F2" s="273"/>
      <c r="G2" s="273"/>
      <c r="H2" s="273"/>
      <c r="I2" s="273"/>
    </row>
    <row r="3" spans="1:9" ht="19.5" thickBot="1" x14ac:dyDescent="0.35">
      <c r="A3" s="26"/>
      <c r="B3" s="6"/>
      <c r="C3" s="6"/>
      <c r="D3" s="6"/>
      <c r="E3" s="6"/>
      <c r="F3" s="6"/>
      <c r="G3" s="6"/>
      <c r="H3" s="6"/>
      <c r="I3" s="6"/>
    </row>
    <row r="4" spans="1:9" ht="215.1" customHeight="1" thickBot="1" x14ac:dyDescent="0.35">
      <c r="A4" s="268" t="s">
        <v>83</v>
      </c>
      <c r="B4" s="269"/>
      <c r="C4" s="269"/>
      <c r="D4" s="269"/>
      <c r="E4" s="269"/>
      <c r="F4" s="269"/>
      <c r="G4" s="269"/>
      <c r="H4" s="269"/>
      <c r="I4" s="270"/>
    </row>
    <row r="5" spans="1:9" ht="19.5" customHeight="1" thickBot="1" x14ac:dyDescent="0.35">
      <c r="A5" s="26"/>
      <c r="B5" s="6"/>
      <c r="C5" s="6"/>
      <c r="D5" s="6"/>
      <c r="E5" s="6"/>
      <c r="F5" s="6"/>
      <c r="G5" s="6"/>
      <c r="H5" s="6"/>
      <c r="I5" s="6"/>
    </row>
    <row r="6" spans="1:9" ht="72.75" customHeight="1" thickBot="1" x14ac:dyDescent="0.4">
      <c r="A6" s="271" t="s">
        <v>82</v>
      </c>
      <c r="B6" s="272"/>
      <c r="C6" s="272"/>
      <c r="D6" s="272"/>
      <c r="E6" s="272"/>
      <c r="F6" s="272"/>
      <c r="G6" s="272"/>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22.407458620591882</v>
      </c>
      <c r="C9" s="81">
        <f>QuotaButterfatPrice</f>
        <v>3.0677066200000001</v>
      </c>
      <c r="D9" s="82">
        <f>QuotaSkimPrice</f>
        <v>0.12093767306312829</v>
      </c>
      <c r="E9" s="82"/>
      <c r="F9" s="83"/>
      <c r="G9" s="84">
        <f>(QuotaButterfatPrice*PoolButterfatPercent*100)+(QuotaSkimPrice*(100-PoolButterfatPercent*100))</f>
        <v>23.977791792414536</v>
      </c>
      <c r="H9" s="1"/>
      <c r="I9" s="1"/>
    </row>
    <row r="10" spans="1:9" ht="15.75" x14ac:dyDescent="0.25">
      <c r="A10" s="85" t="s">
        <v>5</v>
      </c>
      <c r="B10" s="222">
        <f>ExcessButterfatPrice*3.5+ExcessSkimPrice*96.5</f>
        <v>20.907458620591882</v>
      </c>
      <c r="C10" s="86">
        <f>ExcessButterfatPrice</f>
        <v>3.0527066199999999</v>
      </c>
      <c r="D10" s="87">
        <f>ExcessSkimPrice</f>
        <v>0.10593767306312829</v>
      </c>
      <c r="E10" s="87"/>
      <c r="F10" s="88"/>
      <c r="G10" s="89">
        <f>(ExcessButterfatPrice*PoolButterfatPercent*100)+(ExcessSkimPrice*(100-PoolButterfatPercent*100))</f>
        <v>22.477791792414536</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87</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100</v>
      </c>
      <c r="B25" s="114"/>
      <c r="F25" s="102" t="s">
        <v>112</v>
      </c>
      <c r="G25" s="103"/>
    </row>
    <row r="26" spans="1:9" ht="15.75" x14ac:dyDescent="0.25">
      <c r="A26" t="s">
        <v>113</v>
      </c>
      <c r="B26" s="115"/>
      <c r="F26" s="104"/>
      <c r="G26" s="105"/>
    </row>
    <row r="27" spans="1:9" ht="15.75" x14ac:dyDescent="0.25">
      <c r="F27" s="104" t="s">
        <v>99</v>
      </c>
      <c r="G27" s="106">
        <f>G20</f>
        <v>0</v>
      </c>
    </row>
    <row r="28" spans="1:9" ht="16.5" customHeight="1" x14ac:dyDescent="0.25">
      <c r="A28" t="s">
        <v>88</v>
      </c>
      <c r="B28" s="114"/>
      <c r="F28" s="104" t="s">
        <v>101</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89</v>
      </c>
      <c r="B34" s="115"/>
      <c r="F34" s="104" t="s">
        <v>102</v>
      </c>
      <c r="G34" s="106">
        <f>-ROUND(($G$15/100)*B28+B34+B35,2)</f>
        <v>0</v>
      </c>
    </row>
    <row r="35" spans="1:7" ht="15.75" x14ac:dyDescent="0.25">
      <c r="A35" t="s">
        <v>90</v>
      </c>
      <c r="B35" s="115"/>
      <c r="F35" s="104" t="s">
        <v>103</v>
      </c>
      <c r="G35" s="106">
        <f>-ROUND(($G$15/100)*B37,2)</f>
        <v>0</v>
      </c>
    </row>
    <row r="36" spans="1:7" ht="15.75" x14ac:dyDescent="0.25">
      <c r="F36" s="104" t="s">
        <v>104</v>
      </c>
      <c r="G36" s="106">
        <f>-ROUND(IF(($G$15/100)*B39&gt;B41,B41,IF(($G$15/100)*B39&lt;B40,B40,($G$15/100)*B39)),2)</f>
        <v>-50</v>
      </c>
    </row>
    <row r="37" spans="1:7" ht="15.75" x14ac:dyDescent="0.25">
      <c r="A37" t="s">
        <v>91</v>
      </c>
      <c r="B37" s="255">
        <v>2.1499999999999998E-2</v>
      </c>
      <c r="F37" s="104" t="s">
        <v>94</v>
      </c>
      <c r="G37" s="106">
        <f>-ROUND(($G$15/100)*B43,2)</f>
        <v>0</v>
      </c>
    </row>
    <row r="38" spans="1:7" ht="15.75" x14ac:dyDescent="0.25">
      <c r="B38" s="243"/>
      <c r="F38" s="104" t="s">
        <v>105</v>
      </c>
      <c r="G38" s="106">
        <f>-ROUND(($G$15/100)*B45+B46,2)</f>
        <v>0</v>
      </c>
    </row>
    <row r="39" spans="1:7" ht="15.75" x14ac:dyDescent="0.25">
      <c r="A39" s="40" t="s">
        <v>93</v>
      </c>
      <c r="B39" s="242">
        <v>0.14000000000000001</v>
      </c>
      <c r="F39" s="107" t="s">
        <v>106</v>
      </c>
      <c r="G39" s="108">
        <f>-ROUND(($G$15/100)*B48+B49,2)</f>
        <v>0</v>
      </c>
    </row>
    <row r="40" spans="1:7" ht="15.75" x14ac:dyDescent="0.25">
      <c r="A40" t="s">
        <v>92</v>
      </c>
      <c r="B40" s="244">
        <v>50</v>
      </c>
      <c r="F40" s="102" t="s">
        <v>107</v>
      </c>
      <c r="G40" s="109">
        <f>SUM(G27:G39)</f>
        <v>-50</v>
      </c>
    </row>
    <row r="41" spans="1:7" ht="15.75" x14ac:dyDescent="0.25">
      <c r="A41" t="s">
        <v>92</v>
      </c>
      <c r="B41" s="244">
        <v>1050</v>
      </c>
      <c r="F41" s="107" t="s">
        <v>108</v>
      </c>
      <c r="G41" s="108">
        <f>-B51</f>
        <v>0</v>
      </c>
    </row>
    <row r="42" spans="1:7" ht="15.75" x14ac:dyDescent="0.25">
      <c r="B42" s="243"/>
      <c r="F42" s="104" t="s">
        <v>109</v>
      </c>
      <c r="G42" s="106">
        <f>SUM(G40:G41)</f>
        <v>-50</v>
      </c>
    </row>
    <row r="43" spans="1:7" x14ac:dyDescent="0.25">
      <c r="A43" t="s">
        <v>95</v>
      </c>
      <c r="B43" s="242">
        <v>0.15</v>
      </c>
      <c r="F43" s="110"/>
      <c r="G43" s="111"/>
    </row>
    <row r="44" spans="1:7" x14ac:dyDescent="0.25">
      <c r="F44" s="110"/>
      <c r="G44" s="111"/>
    </row>
    <row r="45" spans="1:7" x14ac:dyDescent="0.25">
      <c r="A45" t="s">
        <v>96</v>
      </c>
      <c r="B45" s="114"/>
      <c r="F45" s="112" t="s">
        <v>111</v>
      </c>
      <c r="G45" s="113" t="str">
        <f>IF(G15=0,"",ROUND(G40/(G15/100),4))</f>
        <v/>
      </c>
    </row>
    <row r="46" spans="1:7" x14ac:dyDescent="0.25">
      <c r="A46" t="s">
        <v>97</v>
      </c>
      <c r="B46" s="115"/>
    </row>
    <row r="48" spans="1:7" x14ac:dyDescent="0.25">
      <c r="A48" t="s">
        <v>114</v>
      </c>
      <c r="B48" s="114"/>
    </row>
    <row r="49" spans="1:2" x14ac:dyDescent="0.25">
      <c r="A49" t="s">
        <v>98</v>
      </c>
      <c r="B49" s="115"/>
    </row>
    <row r="51" spans="1:2" x14ac:dyDescent="0.25">
      <c r="A51" t="s">
        <v>110</v>
      </c>
      <c r="B51" s="115"/>
    </row>
  </sheetData>
  <sheetProtection algorithmName="SHA-512" hashValue="ZRjIvL7kcNDks4SYmwQIHFjH+/ZMVhRGh4Sdm/Lu4K5M8hkHh72pMdyAbTudyenIKd5Q5crcUqm3n+f91pPBYA==" saltValue="Q/685PXUu1vFweLruhAYg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91"/>
  <sheetViews>
    <sheetView workbookViewId="0">
      <selection activeCell="A67" sqref="A67:XFD91"/>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192</v>
      </c>
      <c r="B1" s="7"/>
      <c r="C1" s="7"/>
      <c r="D1" s="7"/>
      <c r="E1" s="7"/>
      <c r="F1" s="7"/>
      <c r="G1" s="7"/>
      <c r="H1" s="7"/>
      <c r="I1" s="7"/>
    </row>
    <row r="2" spans="1:13" ht="18.75" x14ac:dyDescent="0.3">
      <c r="A2" s="259">
        <f>Pooling_Month</f>
        <v>45627</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v>45627</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514667</v>
      </c>
      <c r="C6" s="126"/>
      <c r="D6" s="126"/>
      <c r="E6" s="126"/>
      <c r="F6" s="126"/>
      <c r="G6" s="126"/>
      <c r="H6" s="126"/>
      <c r="I6" s="127"/>
    </row>
    <row r="7" spans="1:13" ht="15.75" x14ac:dyDescent="0.25">
      <c r="A7" s="128" t="s">
        <v>15</v>
      </c>
      <c r="B7" s="130">
        <f>PoolButterfatPercent</f>
        <v>4.0328999999999997E-2</v>
      </c>
      <c r="C7" s="126"/>
      <c r="D7" s="126"/>
      <c r="E7" s="126"/>
      <c r="F7" s="126"/>
      <c r="G7" s="126"/>
      <c r="H7" s="126"/>
      <c r="I7" s="127"/>
    </row>
    <row r="8" spans="1:13" ht="15.75" x14ac:dyDescent="0.25">
      <c r="A8" s="128" t="s">
        <v>51</v>
      </c>
      <c r="B8" s="130">
        <f>PoolOverQuotaProdPerc</f>
        <v>9.6579999999999999E-3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15800586.729534</v>
      </c>
      <c r="C11" s="135">
        <f>C13-C12</f>
        <v>637221.86221537658</v>
      </c>
      <c r="D11" s="135">
        <f>D13-D12</f>
        <v>15163364.867318623</v>
      </c>
      <c r="E11" s="135"/>
      <c r="F11" s="126"/>
      <c r="G11" s="126"/>
      <c r="H11" s="126"/>
      <c r="I11" s="127"/>
    </row>
    <row r="12" spans="1:13" ht="15.75" x14ac:dyDescent="0.25">
      <c r="A12" s="136" t="s">
        <v>18</v>
      </c>
      <c r="B12" s="137">
        <f>B13*PoolOverQuotaProdPerc</f>
        <v>154090.27046599999</v>
      </c>
      <c r="C12" s="137">
        <f>B12*PoolButterfatPercent</f>
        <v>6214.3065176233131</v>
      </c>
      <c r="D12" s="137">
        <f>B12-C12</f>
        <v>147875.96394837668</v>
      </c>
      <c r="E12" s="135"/>
      <c r="F12" s="126"/>
      <c r="G12" s="126"/>
      <c r="H12" s="126"/>
      <c r="I12" s="127"/>
    </row>
    <row r="13" spans="1:13" ht="15.75" x14ac:dyDescent="0.25">
      <c r="A13" s="134" t="s">
        <v>19</v>
      </c>
      <c r="B13" s="135">
        <f>PoolDailyProd*DaysPerMonth</f>
        <v>15954677</v>
      </c>
      <c r="C13" s="135">
        <f>B13*PoolButterfatPercent</f>
        <v>643436.16873299994</v>
      </c>
      <c r="D13" s="135">
        <f>B13-C13</f>
        <v>15311240.831266999</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14117969.417635586</v>
      </c>
      <c r="C16" s="135">
        <f>Butterfat_Production*EstClsIBFUtPerc</f>
        <v>321010.3045808936</v>
      </c>
      <c r="D16" s="135">
        <f>Skim_Production*EstClsISkimUtPerc</f>
        <v>13796959.113054693</v>
      </c>
      <c r="E16" s="140"/>
      <c r="F16" s="126"/>
      <c r="G16" s="141" t="s">
        <v>21</v>
      </c>
      <c r="H16" s="142">
        <f>EstClsIBFUtPerc</f>
        <v>0.4988999999999999</v>
      </c>
      <c r="I16" s="143">
        <f>EstClsISkimUtPerc</f>
        <v>0.90110000000000001</v>
      </c>
      <c r="M16" s="5"/>
    </row>
    <row r="17" spans="1:14" ht="15.75" x14ac:dyDescent="0.25">
      <c r="A17" s="134" t="s">
        <v>22</v>
      </c>
      <c r="B17" s="135">
        <f>SUM(C17:D17)</f>
        <v>98929.157338313598</v>
      </c>
      <c r="C17" s="135">
        <f>Butterfat_Production*EstClsIIBFUtPerc</f>
        <v>65244.427509526206</v>
      </c>
      <c r="D17" s="135">
        <f>Skim_Production*EstClsIISkimUTPerc</f>
        <v>33684.729828787393</v>
      </c>
      <c r="E17" s="140"/>
      <c r="F17" s="126"/>
      <c r="G17" s="141" t="s">
        <v>22</v>
      </c>
      <c r="H17" s="142">
        <f>EstClsIIBFUtPerc</f>
        <v>0.10140000000000002</v>
      </c>
      <c r="I17" s="143">
        <f>EstClsIISkimUTPerc</f>
        <v>2.1999999999999997E-3</v>
      </c>
      <c r="M17" s="5"/>
    </row>
    <row r="18" spans="1:14" ht="15.75" x14ac:dyDescent="0.25">
      <c r="A18" s="136" t="s">
        <v>23</v>
      </c>
      <c r="B18" s="137">
        <f>SUM(C18:D18)</f>
        <v>1737778.4250260987</v>
      </c>
      <c r="C18" s="137">
        <f>Butterfat_Production*EstClsIIIBFUtPerc</f>
        <v>257181.43664258008</v>
      </c>
      <c r="D18" s="137">
        <f>Skim_Production*EstClsIIISkimUtPerc</f>
        <v>1480596.9883835188</v>
      </c>
      <c r="E18" s="140"/>
      <c r="F18" s="126"/>
      <c r="G18" s="144" t="s">
        <v>23</v>
      </c>
      <c r="H18" s="145">
        <f>EstClsIIIBFUtPerc</f>
        <v>0.3997</v>
      </c>
      <c r="I18" s="146">
        <f>EstClsIIISkimUtPerc</f>
        <v>9.6699999999999994E-2</v>
      </c>
      <c r="M18" s="5"/>
    </row>
    <row r="19" spans="1:14" ht="15.75" x14ac:dyDescent="0.25">
      <c r="A19" s="131"/>
      <c r="B19" s="147">
        <f>SUM(B16:B18)</f>
        <v>15954676.999999998</v>
      </c>
      <c r="C19" s="147">
        <f>SUM(C16:C18)</f>
        <v>643436.16873299982</v>
      </c>
      <c r="D19" s="147">
        <f>SUM(D16:D18)</f>
        <v>15311240.831266999</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2868860.0981693557</v>
      </c>
      <c r="C22" s="159">
        <f>C16*MTClassIButterfatPrice</f>
        <v>1001423.7461705557</v>
      </c>
      <c r="D22" s="159">
        <f>D16*MTClassISkimPrice</f>
        <v>1867436.3519987997</v>
      </c>
      <c r="E22" s="159"/>
      <c r="F22" s="160" t="s">
        <v>21</v>
      </c>
      <c r="G22" s="219">
        <v>23.98</v>
      </c>
      <c r="H22" s="162">
        <v>3.1196000000000002</v>
      </c>
      <c r="I22" s="220">
        <v>0.13535130000000001</v>
      </c>
    </row>
    <row r="23" spans="1:14" ht="15.75" x14ac:dyDescent="0.25">
      <c r="A23" s="158" t="s">
        <v>22</v>
      </c>
      <c r="B23" s="159">
        <f>SUM(C23:D23)</f>
        <v>206193.13266115362</v>
      </c>
      <c r="C23" s="159">
        <f>C17*MTClassIIButterfatPrice</f>
        <v>202329.49414979172</v>
      </c>
      <c r="D23" s="159">
        <f>D17*MTClassIISkimPrice</f>
        <v>3863.638511361914</v>
      </c>
      <c r="E23" s="159"/>
      <c r="F23" s="160" t="s">
        <v>22</v>
      </c>
      <c r="G23" s="219">
        <v>21.9224</v>
      </c>
      <c r="H23" s="162">
        <v>3.1011000000000002</v>
      </c>
      <c r="I23" s="220">
        <v>0.1147</v>
      </c>
    </row>
    <row r="24" spans="1:14" ht="15.75" x14ac:dyDescent="0.25">
      <c r="A24" s="164" t="s">
        <v>23</v>
      </c>
      <c r="B24" s="165">
        <f>SUM(C24:D24)</f>
        <v>913644.84732475027</v>
      </c>
      <c r="C24" s="165">
        <f>C18*MTClassIIIButterfatPrice</f>
        <v>770026.93945154897</v>
      </c>
      <c r="D24" s="165">
        <f>D18*MTClassIIISkimPrice</f>
        <v>143617.90787320133</v>
      </c>
      <c r="E24" s="159"/>
      <c r="F24" s="160" t="s">
        <v>23</v>
      </c>
      <c r="G24" s="219">
        <v>19.839849999999998</v>
      </c>
      <c r="H24" s="162">
        <v>2.9941</v>
      </c>
      <c r="I24" s="220">
        <v>9.7000000000000003E-2</v>
      </c>
    </row>
    <row r="25" spans="1:14" ht="15.75" x14ac:dyDescent="0.25">
      <c r="A25" s="158" t="s">
        <v>120</v>
      </c>
      <c r="B25" s="159">
        <f>SUM(B22:B24)</f>
        <v>3988698.0781552596</v>
      </c>
      <c r="C25" s="159">
        <f>SUM(C22:C24)</f>
        <v>1973780.1797718965</v>
      </c>
      <c r="D25" s="159">
        <f>SUM(D22:D24)</f>
        <v>2014917.8983833632</v>
      </c>
      <c r="E25" s="159"/>
      <c r="F25" s="126"/>
      <c r="G25" s="151"/>
      <c r="H25" s="151"/>
      <c r="I25" s="152"/>
    </row>
    <row r="26" spans="1:14" ht="15.75" x14ac:dyDescent="0.25">
      <c r="A26" s="158"/>
      <c r="B26" s="159"/>
      <c r="C26" s="159"/>
      <c r="D26" s="159"/>
      <c r="E26" s="159"/>
      <c r="F26" s="126"/>
      <c r="G26" s="154" t="s">
        <v>115</v>
      </c>
      <c r="H26" s="154" t="s">
        <v>116</v>
      </c>
      <c r="I26" s="152"/>
    </row>
    <row r="27" spans="1:14" ht="15.75" x14ac:dyDescent="0.25">
      <c r="A27" s="166" t="s">
        <v>125</v>
      </c>
      <c r="B27" s="159"/>
      <c r="C27" s="159"/>
      <c r="D27" s="161">
        <f>AVERAGE(G27:H27)</f>
        <v>-52900</v>
      </c>
      <c r="E27" s="159"/>
      <c r="F27" s="126"/>
      <c r="G27" s="167">
        <v>-48000</v>
      </c>
      <c r="H27" s="168">
        <v>-57800</v>
      </c>
      <c r="I27" s="152"/>
      <c r="K27"/>
    </row>
    <row r="28" spans="1:14" ht="15.75" x14ac:dyDescent="0.25">
      <c r="A28" s="158" t="s">
        <v>122</v>
      </c>
      <c r="B28" s="159"/>
      <c r="C28" s="159"/>
      <c r="D28" s="159">
        <f>SurplusAdjustmentPckgClassI</f>
        <v>-112530.20000000001</v>
      </c>
      <c r="E28" s="159"/>
      <c r="F28" s="126"/>
      <c r="G28" s="151"/>
      <c r="H28" s="151"/>
      <c r="I28" s="152"/>
      <c r="L28" s="232"/>
      <c r="M28" s="232"/>
      <c r="N28" s="232"/>
    </row>
    <row r="29" spans="1:14" ht="15.75" x14ac:dyDescent="0.25">
      <c r="A29" s="164" t="s">
        <v>133</v>
      </c>
      <c r="B29" s="169"/>
      <c r="C29" s="169"/>
      <c r="D29" s="165">
        <f>SurplusAdjustmentBulkSales</f>
        <v>0</v>
      </c>
      <c r="E29" s="159"/>
      <c r="F29" s="126"/>
      <c r="G29" s="151"/>
      <c r="H29" s="151"/>
      <c r="I29" s="152"/>
      <c r="L29" s="232"/>
      <c r="M29" s="232"/>
      <c r="N29" s="232"/>
    </row>
    <row r="30" spans="1:14" ht="15.75" x14ac:dyDescent="0.25">
      <c r="A30" s="166" t="s">
        <v>35</v>
      </c>
      <c r="B30" s="170">
        <f>C30+D30</f>
        <v>3823267.8781552594</v>
      </c>
      <c r="C30" s="170">
        <f>SUM(C25:C29)</f>
        <v>1973780.1797718965</v>
      </c>
      <c r="D30" s="170">
        <f>SUM(D25:D29)</f>
        <v>1849487.6983833632</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3.0675617499999999</v>
      </c>
      <c r="D33" s="175">
        <f>D30/Skim_Production</f>
        <v>0.12079280306312828</v>
      </c>
      <c r="E33" s="176"/>
      <c r="F33" s="160" t="s">
        <v>38</v>
      </c>
      <c r="G33" s="126"/>
      <c r="H33" s="175">
        <f>C30/Butterfat_Production</f>
        <v>3.0675617499999999</v>
      </c>
      <c r="I33" s="163">
        <f>D30/Skim_Production</f>
        <v>0.12079280306312828</v>
      </c>
    </row>
    <row r="34" spans="1:9" ht="15.75" x14ac:dyDescent="0.25">
      <c r="A34" s="164" t="s">
        <v>52</v>
      </c>
      <c r="B34" s="169"/>
      <c r="C34" s="177">
        <f>(1.5/100)*B8</f>
        <v>1.4486999999999999E-4</v>
      </c>
      <c r="D34" s="177">
        <f>(1.5/100)*B8</f>
        <v>1.4486999999999999E-4</v>
      </c>
      <c r="E34" s="178"/>
      <c r="F34" s="179" t="s">
        <v>53</v>
      </c>
      <c r="G34" s="169"/>
      <c r="H34" s="177">
        <f>-(1.5/100)*(1-B8)</f>
        <v>-1.4855130000000001E-2</v>
      </c>
      <c r="I34" s="180">
        <f>-(1.5/100)*(1-B8)</f>
        <v>-1.4855130000000001E-2</v>
      </c>
    </row>
    <row r="35" spans="1:9" ht="16.5" thickBot="1" x14ac:dyDescent="0.3">
      <c r="A35" s="181" t="s">
        <v>45</v>
      </c>
      <c r="B35" s="182"/>
      <c r="C35" s="183">
        <f>SUM(C33:C34)</f>
        <v>3.0677066200000001</v>
      </c>
      <c r="D35" s="183">
        <f>SUM(D33:D34)</f>
        <v>0.12093767306312829</v>
      </c>
      <c r="E35" s="184"/>
      <c r="F35" s="185" t="s">
        <v>46</v>
      </c>
      <c r="G35" s="182"/>
      <c r="H35" s="183">
        <f>SUM(H33:H34)</f>
        <v>3.0527066199999999</v>
      </c>
      <c r="I35" s="186">
        <f>SUM(I33:I34)</f>
        <v>0.10593767306312829</v>
      </c>
    </row>
    <row r="36" spans="1:9" x14ac:dyDescent="0.25">
      <c r="G36" s="90"/>
      <c r="H36" s="90"/>
      <c r="I36" s="90"/>
    </row>
    <row r="37" spans="1:9" x14ac:dyDescent="0.25">
      <c r="A37" s="3"/>
      <c r="G37" s="90"/>
      <c r="H37" s="90"/>
      <c r="I37" s="90"/>
    </row>
    <row r="38" spans="1:9" ht="15.75" thickBot="1" x14ac:dyDescent="0.3"/>
    <row r="39" spans="1:9" ht="15.75" x14ac:dyDescent="0.25">
      <c r="A39" s="119" t="s">
        <v>124</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126</v>
      </c>
      <c r="B41" s="188" t="s">
        <v>10</v>
      </c>
      <c r="C41" s="188" t="s">
        <v>11</v>
      </c>
      <c r="D41" s="188" t="s">
        <v>12</v>
      </c>
      <c r="E41" s="133"/>
      <c r="F41" s="126"/>
      <c r="G41" s="126"/>
      <c r="H41" s="133" t="s">
        <v>26</v>
      </c>
      <c r="I41" s="139" t="s">
        <v>27</v>
      </c>
    </row>
    <row r="42" spans="1:9" ht="15.75" x14ac:dyDescent="0.25">
      <c r="A42" s="189"/>
      <c r="B42" s="190">
        <f>SUM(C42:D42)</f>
        <v>3949763.5051283152</v>
      </c>
      <c r="C42" s="190">
        <f>EstClsIPckgSurpPoolBFUtPerc*Butterfat_Production</f>
        <v>95633.274322617042</v>
      </c>
      <c r="D42" s="190">
        <f>EstClsIPckgSurpPoolSkimUtPerc*Skim_Production</f>
        <v>3854130.2308056983</v>
      </c>
      <c r="E42" s="126"/>
      <c r="G42" s="211" t="s">
        <v>130</v>
      </c>
      <c r="H42" s="142">
        <f>EstClsIPckgSurpPoolBFUtPerc</f>
        <v>0.14862899999999998</v>
      </c>
      <c r="I42" s="143">
        <f>EstClsIPckgSurpPoolSkimUtPerc</f>
        <v>0.25171900000000003</v>
      </c>
    </row>
    <row r="43" spans="1:9" ht="15.75" x14ac:dyDescent="0.25">
      <c r="A43" s="158"/>
      <c r="B43" s="192"/>
      <c r="C43" s="192"/>
      <c r="D43" s="192"/>
      <c r="E43" s="126"/>
      <c r="F43" s="160"/>
      <c r="G43" s="126"/>
      <c r="H43" s="149"/>
      <c r="I43" s="150"/>
    </row>
    <row r="44" spans="1:9" ht="31.5" x14ac:dyDescent="0.25">
      <c r="A44" s="193" t="s">
        <v>127</v>
      </c>
      <c r="B44" s="133" t="s">
        <v>10</v>
      </c>
      <c r="C44" s="192"/>
      <c r="D44" s="192"/>
      <c r="E44" s="126"/>
      <c r="F44" s="156" t="s">
        <v>121</v>
      </c>
      <c r="G44" s="126"/>
      <c r="H44" s="149"/>
      <c r="I44" s="150"/>
    </row>
    <row r="45" spans="1:9" ht="15.75" x14ac:dyDescent="0.25">
      <c r="A45" s="194" t="s">
        <v>117</v>
      </c>
      <c r="B45" s="192">
        <f>ROUND(F45*B42,0)</f>
        <v>1587517</v>
      </c>
      <c r="C45" s="192"/>
      <c r="D45" s="192"/>
      <c r="E45" s="126"/>
      <c r="F45" s="142">
        <f>PercClsIPckgSurptoContigStates</f>
        <v>0.40192699999999998</v>
      </c>
      <c r="G45" s="126"/>
      <c r="H45" s="149"/>
      <c r="I45" s="150"/>
    </row>
    <row r="46" spans="1:9" ht="15.75" x14ac:dyDescent="0.25">
      <c r="A46" s="194" t="s">
        <v>118</v>
      </c>
      <c r="B46" s="192">
        <f>B42-B45</f>
        <v>2362246.5051283152</v>
      </c>
      <c r="C46" s="192"/>
      <c r="D46" s="192"/>
      <c r="E46" s="126"/>
      <c r="F46" s="195">
        <f>1-F45</f>
        <v>0.59807300000000008</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128</v>
      </c>
      <c r="B49" s="192"/>
      <c r="C49" s="192"/>
      <c r="D49" s="192"/>
      <c r="E49" s="126"/>
      <c r="F49" s="212" t="s">
        <v>123</v>
      </c>
      <c r="G49" s="126"/>
      <c r="H49" s="149"/>
      <c r="I49" s="150"/>
    </row>
    <row r="50" spans="1:11" ht="15.75" x14ac:dyDescent="0.25">
      <c r="A50" s="194" t="s">
        <v>117</v>
      </c>
      <c r="B50" s="159">
        <f>ROUND(B45/100*F50,2)</f>
        <v>-40481.68</v>
      </c>
      <c r="C50" s="192"/>
      <c r="D50" s="192"/>
      <c r="E50" s="126"/>
      <c r="F50" s="197">
        <v>-2.5499999999999998</v>
      </c>
      <c r="G50" s="126"/>
      <c r="H50" s="149"/>
      <c r="I50" s="150"/>
    </row>
    <row r="51" spans="1:11" ht="15.75" x14ac:dyDescent="0.25">
      <c r="A51" s="198" t="s">
        <v>118</v>
      </c>
      <c r="B51" s="165">
        <f>ROUND(B46/100*F51,2)</f>
        <v>-72048.52</v>
      </c>
      <c r="C51" s="192"/>
      <c r="D51" s="192"/>
      <c r="E51" s="126"/>
      <c r="F51" s="197">
        <v>-3.05</v>
      </c>
      <c r="G51" s="126"/>
      <c r="H51" s="149"/>
      <c r="I51" s="150"/>
    </row>
    <row r="52" spans="1:11" ht="31.5" x14ac:dyDescent="0.25">
      <c r="A52" s="199" t="s">
        <v>129</v>
      </c>
      <c r="B52" s="170">
        <f>SUM(B50:B51)</f>
        <v>-112530.20000000001</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119</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131</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132</v>
      </c>
      <c r="B59" s="170">
        <f>(B56/100)*F59</f>
        <v>0</v>
      </c>
      <c r="C59" s="208"/>
      <c r="D59" s="192"/>
      <c r="E59" s="126"/>
      <c r="F59" s="161">
        <f>ROUND(K91,2)</f>
        <v>-0.77</v>
      </c>
      <c r="G59" s="167">
        <f>ROUND(L91,2)</f>
        <v>-0.77</v>
      </c>
      <c r="H59" s="168">
        <f>ROUND(J91,2)</f>
        <v>-0.77</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144</v>
      </c>
      <c r="B67" s="229">
        <f>B7</f>
        <v>4.0328999999999997E-2</v>
      </c>
    </row>
    <row r="68" spans="1:16" hidden="1" x14ac:dyDescent="0.25">
      <c r="A68" s="1" t="s">
        <v>146</v>
      </c>
      <c r="B68" s="230">
        <v>3.0941000000000001</v>
      </c>
      <c r="C68" s="1" t="s">
        <v>200</v>
      </c>
    </row>
    <row r="69" spans="1:16" hidden="1" x14ac:dyDescent="0.25">
      <c r="A69" s="1" t="s">
        <v>147</v>
      </c>
      <c r="B69" s="230">
        <v>9.7000000000000003E-2</v>
      </c>
      <c r="C69" s="1" t="s">
        <v>200</v>
      </c>
    </row>
    <row r="70" spans="1:16" hidden="1" x14ac:dyDescent="0.25">
      <c r="A70" s="1" t="s">
        <v>145</v>
      </c>
      <c r="B70" s="230">
        <v>0.1077</v>
      </c>
      <c r="C70" s="1" t="s">
        <v>200</v>
      </c>
    </row>
    <row r="71" spans="1:16" hidden="1" x14ac:dyDescent="0.25">
      <c r="B71" s="231"/>
    </row>
    <row r="72" spans="1:16" hidden="1" x14ac:dyDescent="0.25">
      <c r="A72" t="s">
        <v>148</v>
      </c>
      <c r="B72" s="231">
        <f>MTClassIIISkimPrice</f>
        <v>9.7000000000000003E-2</v>
      </c>
    </row>
    <row r="73" spans="1:16" hidden="1" x14ac:dyDescent="0.25">
      <c r="A73" t="s">
        <v>149</v>
      </c>
      <c r="B73" s="231">
        <f>MTClassIIIButterfatPrice</f>
        <v>2.9941</v>
      </c>
    </row>
    <row r="74" spans="1:16" hidden="1" x14ac:dyDescent="0.25"/>
    <row r="75" spans="1:16" hidden="1" x14ac:dyDescent="0.25"/>
    <row r="76" spans="1:16" hidden="1" x14ac:dyDescent="0.25">
      <c r="A76" t="s">
        <v>150</v>
      </c>
      <c r="B76" s="232">
        <f>(100*B67*B68)+(100*(1-B67)*B70)</f>
        <v>22.813852560000001</v>
      </c>
    </row>
    <row r="77" spans="1:16" hidden="1" x14ac:dyDescent="0.25">
      <c r="A77" t="s">
        <v>151</v>
      </c>
      <c r="B77" s="232">
        <f>(100*B67*B73+100*(1-B67)*B72)</f>
        <v>21.383714589999997</v>
      </c>
    </row>
    <row r="78" spans="1:16" hidden="1" x14ac:dyDescent="0.25"/>
    <row r="79" spans="1:16" ht="60" hidden="1" x14ac:dyDescent="0.25">
      <c r="F79" s="233" t="s">
        <v>157</v>
      </c>
      <c r="G79" s="233" t="s">
        <v>158</v>
      </c>
      <c r="H79" s="233" t="s">
        <v>159</v>
      </c>
      <c r="J79" s="235" t="s">
        <v>160</v>
      </c>
      <c r="K79" s="240" t="s">
        <v>161</v>
      </c>
      <c r="L79" s="235" t="s">
        <v>162</v>
      </c>
      <c r="N79" s="239" t="s">
        <v>164</v>
      </c>
      <c r="O79" s="239" t="s">
        <v>163</v>
      </c>
      <c r="P79" s="239" t="s">
        <v>165</v>
      </c>
    </row>
    <row r="80" spans="1:16" hidden="1" x14ac:dyDescent="0.25">
      <c r="A80" t="s">
        <v>152</v>
      </c>
      <c r="B80" s="232">
        <f>B76</f>
        <v>22.813852560000001</v>
      </c>
    </row>
    <row r="81" spans="1:16" hidden="1" x14ac:dyDescent="0.25">
      <c r="A81" t="s">
        <v>154</v>
      </c>
      <c r="B81" s="232">
        <v>-2.2000000000000002</v>
      </c>
    </row>
    <row r="82" spans="1:16" hidden="1" x14ac:dyDescent="0.25">
      <c r="A82" s="245" t="s">
        <v>187</v>
      </c>
      <c r="B82" s="236">
        <f>-B77</f>
        <v>-21.383714589999997</v>
      </c>
    </row>
    <row r="83" spans="1:16" hidden="1" x14ac:dyDescent="0.25">
      <c r="A83" t="s">
        <v>153</v>
      </c>
      <c r="B83" s="232">
        <f>SUM(B80:B82)</f>
        <v>-0.7698620299999952</v>
      </c>
      <c r="F83" s="5">
        <f>N83/N$91</f>
        <v>1</v>
      </c>
      <c r="G83" s="5">
        <f>O83/O$91</f>
        <v>1</v>
      </c>
      <c r="H83" s="5">
        <f>P83/P$91</f>
        <v>1</v>
      </c>
      <c r="J83" s="232">
        <f>$B83*F83</f>
        <v>-0.7698620299999952</v>
      </c>
      <c r="K83" s="232">
        <f>$B83*G83</f>
        <v>-0.7698620299999952</v>
      </c>
      <c r="L83" s="232">
        <f>$B83*H83</f>
        <v>-0.7698620299999952</v>
      </c>
      <c r="N83" s="238">
        <f>O83-65000*2</f>
        <v>1088300</v>
      </c>
      <c r="O83" s="238">
        <v>1218300</v>
      </c>
      <c r="P83" s="238">
        <f>O83+65000*2</f>
        <v>1348300</v>
      </c>
    </row>
    <row r="84" spans="1:16" hidden="1" x14ac:dyDescent="0.25"/>
    <row r="85" spans="1:16" hidden="1" x14ac:dyDescent="0.25">
      <c r="A85" t="s">
        <v>188</v>
      </c>
      <c r="B85" s="234">
        <f>B77</f>
        <v>21.383714589999997</v>
      </c>
    </row>
    <row r="86" spans="1:16" hidden="1" x14ac:dyDescent="0.25">
      <c r="A86" t="s">
        <v>189</v>
      </c>
      <c r="B86" s="234">
        <v>0</v>
      </c>
    </row>
    <row r="87" spans="1:16" hidden="1" x14ac:dyDescent="0.25">
      <c r="A87" t="s">
        <v>155</v>
      </c>
      <c r="B87" s="234">
        <v>-5.43</v>
      </c>
    </row>
    <row r="88" spans="1:16" hidden="1" x14ac:dyDescent="0.25">
      <c r="A88" s="245" t="s">
        <v>187</v>
      </c>
      <c r="B88" s="236">
        <f>-B77</f>
        <v>-21.383714589999997</v>
      </c>
    </row>
    <row r="89" spans="1:16" hidden="1" x14ac:dyDescent="0.25">
      <c r="A89" t="s">
        <v>156</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0" spans="1:16" hidden="1" x14ac:dyDescent="0.25"/>
    <row r="91" spans="1:16" hidden="1" x14ac:dyDescent="0.25">
      <c r="F91" s="5">
        <f>SUM(F80:F89)</f>
        <v>1</v>
      </c>
      <c r="G91" s="5">
        <f>SUM(G80:G89)</f>
        <v>1</v>
      </c>
      <c r="H91" s="5">
        <f>SUM(H80:H89)</f>
        <v>1</v>
      </c>
      <c r="I91" s="237" t="s">
        <v>54</v>
      </c>
      <c r="J91" s="232">
        <f>SUM(J80:J89)</f>
        <v>-0.7698620299999952</v>
      </c>
      <c r="K91" s="241">
        <f>SUM(K80:K89)</f>
        <v>-0.7698620299999952</v>
      </c>
      <c r="L91" s="232">
        <f>SUM(L80:L89)</f>
        <v>-0.7698620299999952</v>
      </c>
      <c r="N91" s="238">
        <f>SUM(N80:N89)</f>
        <v>1088300</v>
      </c>
      <c r="O91" s="238">
        <f>SUM(O80:O89)</f>
        <v>1218300</v>
      </c>
      <c r="P91" s="238">
        <f>SUM(P80:P89)</f>
        <v>1348300</v>
      </c>
    </row>
  </sheetData>
  <sheetProtection algorithmName="SHA-512" hashValue="5T15gY0bFLfBLPuov+jdabWR9ivIn+/vfhR71q/WGROqnWRrahFG4vNZ4VWt7K7uLZJ1lcfQ6djSM55wk5koYA==" saltValue="B42XD0jQXrW26XS7WZEL1A==" spinCount="100000" sheet="1" objects="1" scenarios="1"/>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B61"/>
  <sheetViews>
    <sheetView workbookViewId="0">
      <selection activeCell="A33" sqref="A33:XFD61"/>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45627</v>
      </c>
    </row>
    <row r="4" spans="1:2" x14ac:dyDescent="0.25">
      <c r="B4" s="37" t="s">
        <v>60</v>
      </c>
    </row>
    <row r="5" spans="1:2" x14ac:dyDescent="0.25">
      <c r="A5" s="2" t="s">
        <v>50</v>
      </c>
      <c r="B5" s="33">
        <f>PoolDailyProd</f>
        <v>514667</v>
      </c>
    </row>
    <row r="6" spans="1:2" x14ac:dyDescent="0.25">
      <c r="A6" s="36" t="s">
        <v>77</v>
      </c>
      <c r="B6" s="32">
        <f>PoolButterfatPercent</f>
        <v>4.0328999999999997E-2</v>
      </c>
    </row>
    <row r="7" spans="1:2" x14ac:dyDescent="0.25">
      <c r="A7" s="2" t="s">
        <v>51</v>
      </c>
      <c r="B7" s="32">
        <f>PoolOverQuotaProdPerc</f>
        <v>9.6579999999999999E-3</v>
      </c>
    </row>
    <row r="8" spans="1:2" x14ac:dyDescent="0.25">
      <c r="B8" s="31"/>
    </row>
    <row r="9" spans="1:2" x14ac:dyDescent="0.25">
      <c r="A9" t="s">
        <v>75</v>
      </c>
      <c r="B9" s="31"/>
    </row>
    <row r="10" spans="1:2" x14ac:dyDescent="0.25">
      <c r="A10" s="35" t="s">
        <v>21</v>
      </c>
      <c r="B10" s="32">
        <f>EstClsIBFUtPerc</f>
        <v>0.4988999999999999</v>
      </c>
    </row>
    <row r="11" spans="1:2" x14ac:dyDescent="0.25">
      <c r="A11" s="35" t="s">
        <v>22</v>
      </c>
      <c r="B11" s="32">
        <f>EstClsIIBFUtPerc</f>
        <v>0.10140000000000002</v>
      </c>
    </row>
    <row r="12" spans="1:2" x14ac:dyDescent="0.25">
      <c r="A12" s="35" t="s">
        <v>23</v>
      </c>
      <c r="B12" s="38">
        <f>EstClsIIIBFUtPerc</f>
        <v>0.3997</v>
      </c>
    </row>
    <row r="13" spans="1:2" x14ac:dyDescent="0.25">
      <c r="B13" s="32">
        <f>SUM(B10:B12)</f>
        <v>1</v>
      </c>
    </row>
    <row r="14" spans="1:2" x14ac:dyDescent="0.25">
      <c r="B14" s="31"/>
    </row>
    <row r="15" spans="1:2" x14ac:dyDescent="0.25">
      <c r="A15" t="s">
        <v>76</v>
      </c>
      <c r="B15" s="31"/>
    </row>
    <row r="16" spans="1:2" x14ac:dyDescent="0.25">
      <c r="A16" s="35" t="s">
        <v>21</v>
      </c>
      <c r="B16" s="32">
        <f>EstClsISkimUtPerc</f>
        <v>0.90110000000000001</v>
      </c>
    </row>
    <row r="17" spans="1:2" x14ac:dyDescent="0.25">
      <c r="A17" s="35" t="s">
        <v>22</v>
      </c>
      <c r="B17" s="32">
        <f>EstClsIISkimUTPerc</f>
        <v>2.1999999999999997E-3</v>
      </c>
    </row>
    <row r="18" spans="1:2" x14ac:dyDescent="0.25">
      <c r="A18" s="35" t="s">
        <v>23</v>
      </c>
      <c r="B18" s="38">
        <f>EstClsIIISkimUtPerc</f>
        <v>9.6699999999999994E-2</v>
      </c>
    </row>
    <row r="19" spans="1:2" x14ac:dyDescent="0.25">
      <c r="B19" s="32">
        <f>SUM(B16:B18)</f>
        <v>1</v>
      </c>
    </row>
    <row r="20" spans="1:2" x14ac:dyDescent="0.25">
      <c r="B20" s="32"/>
    </row>
    <row r="21" spans="1:2" ht="15.75" x14ac:dyDescent="0.25">
      <c r="A21" s="213" t="s">
        <v>142</v>
      </c>
      <c r="B21" s="39">
        <f>'Quota Price Estimator'!D27</f>
        <v>-52900</v>
      </c>
    </row>
    <row r="22" spans="1:2" x14ac:dyDescent="0.25">
      <c r="B22" s="31"/>
    </row>
    <row r="23" spans="1:2" x14ac:dyDescent="0.25">
      <c r="A23" t="s">
        <v>134</v>
      </c>
      <c r="B23" s="32">
        <f>EstClsIPckgSurpPoolBFUtPerc</f>
        <v>0.14862899999999998</v>
      </c>
    </row>
    <row r="24" spans="1:2" x14ac:dyDescent="0.25">
      <c r="A24" t="s">
        <v>135</v>
      </c>
      <c r="B24" s="32">
        <f>EstClsIPckgSurpPoolSkimUtPerc</f>
        <v>0.25171900000000003</v>
      </c>
    </row>
    <row r="25" spans="1:2" x14ac:dyDescent="0.25">
      <c r="B25" s="31"/>
    </row>
    <row r="26" spans="1:2" x14ac:dyDescent="0.25">
      <c r="A26" t="s">
        <v>137</v>
      </c>
      <c r="B26" s="32">
        <f>PercClsIPckgSurptoContigStates</f>
        <v>0.40192699999999998</v>
      </c>
    </row>
    <row r="27" spans="1:2" x14ac:dyDescent="0.25">
      <c r="B27" s="31"/>
    </row>
    <row r="28" spans="1:2" x14ac:dyDescent="0.25">
      <c r="A28" s="214" t="s">
        <v>140</v>
      </c>
      <c r="B28" s="32">
        <f>EstBulkSurpPoolMilkUtPerc</f>
        <v>0</v>
      </c>
    </row>
    <row r="29" spans="1:2" x14ac:dyDescent="0.25">
      <c r="B29" s="31"/>
    </row>
    <row r="30" spans="1:2" x14ac:dyDescent="0.25">
      <c r="A30" t="s">
        <v>143</v>
      </c>
      <c r="B30" s="39">
        <f>'Quota Price Estimator'!F59</f>
        <v>-0.77</v>
      </c>
    </row>
    <row r="33" spans="1:2" ht="30" hidden="1" x14ac:dyDescent="0.25">
      <c r="B33" s="4" t="s">
        <v>186</v>
      </c>
    </row>
    <row r="34" spans="1:2" hidden="1" x14ac:dyDescent="0.25">
      <c r="A34" t="s">
        <v>168</v>
      </c>
      <c r="B34" s="248">
        <f>'Dairy Revenue Estimator'!B9</f>
        <v>22.407458620591882</v>
      </c>
    </row>
    <row r="35" spans="1:2" hidden="1" x14ac:dyDescent="0.25">
      <c r="A35" t="s">
        <v>169</v>
      </c>
      <c r="B35" s="249">
        <f>'Dairy Revenue Estimator'!C9</f>
        <v>3.0677066200000001</v>
      </c>
    </row>
    <row r="36" spans="1:2" hidden="1" x14ac:dyDescent="0.25">
      <c r="A36" t="s">
        <v>170</v>
      </c>
      <c r="B36" s="249">
        <f>'Dairy Revenue Estimator'!D9</f>
        <v>0.12093767306312829</v>
      </c>
    </row>
    <row r="37" spans="1:2" hidden="1" x14ac:dyDescent="0.25">
      <c r="B37" s="246"/>
    </row>
    <row r="38" spans="1:2" hidden="1" x14ac:dyDescent="0.25">
      <c r="A38" t="s">
        <v>19</v>
      </c>
      <c r="B38" s="250">
        <f>'Quota Price Estimator'!B13</f>
        <v>15954677</v>
      </c>
    </row>
    <row r="39" spans="1:2" hidden="1" x14ac:dyDescent="0.25">
      <c r="B39" s="246"/>
    </row>
    <row r="40" spans="1:2" hidden="1" x14ac:dyDescent="0.25">
      <c r="A40" t="s">
        <v>171</v>
      </c>
      <c r="B40" s="251">
        <f>'Quota Price Estimator'!B7</f>
        <v>4.0328999999999997E-2</v>
      </c>
    </row>
    <row r="41" spans="1:2" hidden="1" x14ac:dyDescent="0.25">
      <c r="B41" s="247"/>
    </row>
    <row r="42" spans="1:2" hidden="1" x14ac:dyDescent="0.25">
      <c r="A42" t="s">
        <v>172</v>
      </c>
      <c r="B42" s="251">
        <f>'Quota Price Estimator'!B8</f>
        <v>9.6579999999999999E-3</v>
      </c>
    </row>
    <row r="43" spans="1:2" hidden="1" x14ac:dyDescent="0.25">
      <c r="B43" s="246"/>
    </row>
    <row r="44" spans="1:2" hidden="1" x14ac:dyDescent="0.25">
      <c r="A44" t="s">
        <v>173</v>
      </c>
      <c r="B44" s="252">
        <f>'Quota Price Estimator'!H16</f>
        <v>0.4988999999999999</v>
      </c>
    </row>
    <row r="45" spans="1:2" hidden="1" x14ac:dyDescent="0.25">
      <c r="A45" t="s">
        <v>174</v>
      </c>
      <c r="B45" s="252">
        <f>'Quota Price Estimator'!H17</f>
        <v>0.10140000000000002</v>
      </c>
    </row>
    <row r="46" spans="1:2" hidden="1" x14ac:dyDescent="0.25">
      <c r="A46" t="s">
        <v>175</v>
      </c>
      <c r="B46" s="252">
        <f>'Quota Price Estimator'!H18</f>
        <v>0.3997</v>
      </c>
    </row>
    <row r="47" spans="1:2" hidden="1" x14ac:dyDescent="0.25">
      <c r="B47" s="247"/>
    </row>
    <row r="48" spans="1:2" hidden="1" x14ac:dyDescent="0.25">
      <c r="A48" t="s">
        <v>176</v>
      </c>
      <c r="B48" s="252">
        <f>'Quota Price Estimator'!I16</f>
        <v>0.90110000000000001</v>
      </c>
    </row>
    <row r="49" spans="1:2" hidden="1" x14ac:dyDescent="0.25">
      <c r="A49" t="s">
        <v>177</v>
      </c>
      <c r="B49" s="252">
        <f>'Quota Price Estimator'!I17</f>
        <v>2.1999999999999997E-3</v>
      </c>
    </row>
    <row r="50" spans="1:2" hidden="1" x14ac:dyDescent="0.25">
      <c r="A50" t="s">
        <v>178</v>
      </c>
      <c r="B50" s="252">
        <f>'Quota Price Estimator'!I18</f>
        <v>9.6699999999999994E-2</v>
      </c>
    </row>
    <row r="51" spans="1:2" hidden="1" x14ac:dyDescent="0.25">
      <c r="B51" s="246"/>
    </row>
    <row r="52" spans="1:2" hidden="1" x14ac:dyDescent="0.25">
      <c r="A52" t="s">
        <v>179</v>
      </c>
      <c r="B52" s="253">
        <f>ROUND('Quota Price Estimator'!B42/100,2)</f>
        <v>39497.64</v>
      </c>
    </row>
    <row r="53" spans="1:2" hidden="1" x14ac:dyDescent="0.25">
      <c r="A53" t="s">
        <v>180</v>
      </c>
      <c r="B53" s="254">
        <f>SurplusAdjustmentPckgClassI</f>
        <v>-112530.20000000001</v>
      </c>
    </row>
    <row r="54" spans="1:2" hidden="1" x14ac:dyDescent="0.25">
      <c r="B54" s="246"/>
    </row>
    <row r="55" spans="1:2" hidden="1" x14ac:dyDescent="0.25">
      <c r="A55" t="s">
        <v>181</v>
      </c>
      <c r="B55" s="253">
        <f>ROUND('Quota Price Estimator'!B56/100,2)</f>
        <v>0</v>
      </c>
    </row>
    <row r="56" spans="1:2" hidden="1" x14ac:dyDescent="0.25">
      <c r="A56" t="s">
        <v>182</v>
      </c>
      <c r="B56" s="254">
        <f>'Quota Price Estimator'!F59</f>
        <v>-0.77</v>
      </c>
    </row>
    <row r="57" spans="1:2" hidden="1" x14ac:dyDescent="0.25">
      <c r="A57" t="s">
        <v>183</v>
      </c>
      <c r="B57" s="254">
        <f>SurplusAdjustmentBulkSales</f>
        <v>0</v>
      </c>
    </row>
    <row r="58" spans="1:2" hidden="1" x14ac:dyDescent="0.25">
      <c r="B58" s="246"/>
    </row>
    <row r="59" spans="1:2" hidden="1" x14ac:dyDescent="0.25">
      <c r="A59" t="s">
        <v>184</v>
      </c>
      <c r="B59" s="254">
        <f>'Quota Price Estimator'!D27</f>
        <v>-52900</v>
      </c>
    </row>
    <row r="60" spans="1:2" hidden="1" x14ac:dyDescent="0.25">
      <c r="B60" s="246"/>
    </row>
    <row r="61" spans="1:2" hidden="1" x14ac:dyDescent="0.25">
      <c r="A61" s="40" t="s">
        <v>185</v>
      </c>
      <c r="B61" s="254">
        <f>'Quota Price Estimator'!B30</f>
        <v>3823267.8781552594</v>
      </c>
    </row>
  </sheetData>
  <sheetProtection algorithmName="SHA-512" hashValue="IaB76srL+FeLgqXj/8l8MGIlTaYtiuzKz44WJpQvXbGKtakMWAmsxbLOZ1XuAvT0TVof8Nl6e+egdF/yFzOhyw==" saltValue="u3Et0Fn/1s3c3VwrgShl6w=="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2"/>
  <sheetViews>
    <sheetView zoomScaleNormal="100" workbookViewId="0">
      <pane ySplit="2" topLeftCell="A88" activePane="bottomLeft" state="frozenSplit"/>
      <selection pane="bottomLeft" activeCell="R91" sqref="R91:R92"/>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201</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1" si="9">SUM(B96:D96)</f>
        <v>1</v>
      </c>
      <c r="G96" s="15">
        <v>45108</v>
      </c>
      <c r="H96" s="13">
        <v>0.90710000000000002</v>
      </c>
      <c r="I96" s="13">
        <v>3.9800000000000002E-2</v>
      </c>
      <c r="J96" s="13">
        <v>5.3100000000000001E-2</v>
      </c>
      <c r="K96" s="13">
        <f t="shared" ref="K96:K111"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c r="B112" s="13"/>
      <c r="C112" s="13"/>
      <c r="D112" s="13"/>
      <c r="E112" s="13"/>
      <c r="G112" s="15"/>
      <c r="H112" s="13"/>
      <c r="I112" s="13"/>
      <c r="J112" s="13"/>
      <c r="K112" s="13"/>
    </row>
    <row r="113" spans="1:17" x14ac:dyDescent="0.25">
      <c r="A113" s="14"/>
      <c r="B113" s="13"/>
      <c r="C113" s="13"/>
      <c r="D113" s="13"/>
      <c r="E113" s="13"/>
      <c r="G113" s="15"/>
      <c r="H113" s="13"/>
      <c r="I113" s="13"/>
      <c r="J113" s="13"/>
      <c r="K113" s="13"/>
    </row>
    <row r="114" spans="1:17" x14ac:dyDescent="0.25">
      <c r="A114" s="14"/>
      <c r="B114" s="13"/>
      <c r="C114" s="13"/>
      <c r="D114" s="13"/>
      <c r="E114" s="13"/>
      <c r="G114" s="15"/>
      <c r="H114" s="13"/>
      <c r="I114" s="13"/>
      <c r="J114" s="13"/>
      <c r="K114" s="13"/>
    </row>
    <row r="115" spans="1:17" x14ac:dyDescent="0.25">
      <c r="A115" s="16" t="s">
        <v>62</v>
      </c>
      <c r="B115" s="17"/>
      <c r="C115" s="17"/>
      <c r="D115" s="17"/>
      <c r="E115" s="17"/>
      <c r="G115" s="16" t="s">
        <v>61</v>
      </c>
      <c r="H115" s="19"/>
      <c r="I115" s="19"/>
      <c r="J115" s="19"/>
      <c r="K115" s="19"/>
    </row>
    <row r="116" spans="1:17" x14ac:dyDescent="0.25">
      <c r="A116" s="27">
        <f>Pooling_Month</f>
        <v>45627</v>
      </c>
      <c r="B116" s="28" t="s">
        <v>21</v>
      </c>
      <c r="C116" s="28" t="s">
        <v>22</v>
      </c>
      <c r="D116" s="28" t="s">
        <v>23</v>
      </c>
      <c r="E116" s="28" t="s">
        <v>54</v>
      </c>
      <c r="G116" s="27">
        <f>Pooling_Month</f>
        <v>45627</v>
      </c>
      <c r="H116" s="28" t="s">
        <v>21</v>
      </c>
      <c r="I116" s="28" t="s">
        <v>22</v>
      </c>
      <c r="J116" s="28" t="s">
        <v>23</v>
      </c>
      <c r="K116" s="28" t="s">
        <v>54</v>
      </c>
      <c r="P116" s="100" t="s">
        <v>166</v>
      </c>
      <c r="Q116" s="100" t="s">
        <v>167</v>
      </c>
    </row>
    <row r="117" spans="1:17" x14ac:dyDescent="0.25">
      <c r="A117" s="31" t="s">
        <v>60</v>
      </c>
      <c r="B117" s="32">
        <v>0.4988999999999999</v>
      </c>
      <c r="C117" s="32">
        <v>0.10140000000000002</v>
      </c>
      <c r="D117" s="32">
        <v>0.3997</v>
      </c>
      <c r="E117" s="13">
        <v>1</v>
      </c>
      <c r="G117" s="31" t="s">
        <v>60</v>
      </c>
      <c r="H117" s="32">
        <v>0.90110000000000001</v>
      </c>
      <c r="I117" s="32">
        <v>2.1999999999999997E-3</v>
      </c>
      <c r="J117" s="32">
        <v>9.6699999999999994E-2</v>
      </c>
      <c r="K117" s="13">
        <f>SUM(H117:J117)</f>
        <v>1</v>
      </c>
      <c r="M117" s="30"/>
      <c r="O117" s="99"/>
      <c r="P117" s="13">
        <f>1-E117</f>
        <v>0</v>
      </c>
      <c r="Q117" s="227">
        <f>1-K117</f>
        <v>0</v>
      </c>
    </row>
    <row r="119" spans="1:17" ht="15.75" hidden="1" customHeight="1" x14ac:dyDescent="0.25">
      <c r="L119" t="s">
        <v>199</v>
      </c>
      <c r="M119" s="100"/>
      <c r="N119" s="100"/>
      <c r="O119" s="100"/>
      <c r="P119" s="100"/>
      <c r="Q119" s="100"/>
    </row>
    <row r="120" spans="1:17" ht="30" hidden="1" x14ac:dyDescent="0.25">
      <c r="A120" s="40" t="s">
        <v>211</v>
      </c>
      <c r="B120" s="13">
        <f>B101-B99</f>
        <v>-3.8800000000000057E-2</v>
      </c>
      <c r="C120" s="13">
        <f t="shared" ref="C120:K120" si="11">C101-C99</f>
        <v>-5.1199999999999996E-2</v>
      </c>
      <c r="D120" s="13">
        <f t="shared" si="11"/>
        <v>9.0000000000000024E-2</v>
      </c>
      <c r="E120" s="13">
        <f t="shared" si="11"/>
        <v>0</v>
      </c>
      <c r="F120" s="13"/>
      <c r="G120" s="13"/>
      <c r="H120" s="13">
        <f t="shared" si="11"/>
        <v>-1.8199999999999994E-2</v>
      </c>
      <c r="I120" s="13">
        <f t="shared" si="11"/>
        <v>-5.5999999999999999E-3</v>
      </c>
      <c r="J120" s="13">
        <f t="shared" si="11"/>
        <v>2.3799999999999988E-2</v>
      </c>
      <c r="K120" s="13">
        <f t="shared" si="11"/>
        <v>0</v>
      </c>
      <c r="M120" s="30"/>
      <c r="O120" s="99"/>
      <c r="Q120" s="30"/>
    </row>
    <row r="121" spans="1:17" hidden="1" x14ac:dyDescent="0.25">
      <c r="A121" s="93" t="s">
        <v>212</v>
      </c>
      <c r="B121" s="13">
        <f>B111</f>
        <v>0.53769999999999996</v>
      </c>
      <c r="C121" s="13">
        <f t="shared" ref="C121:K121" si="12">C111</f>
        <v>0.15260000000000001</v>
      </c>
      <c r="D121" s="13">
        <f t="shared" si="12"/>
        <v>0.30969999999999998</v>
      </c>
      <c r="E121" s="13">
        <f t="shared" si="12"/>
        <v>0.99999999999999989</v>
      </c>
      <c r="F121" s="13"/>
      <c r="G121" s="13"/>
      <c r="H121" s="13">
        <f t="shared" si="12"/>
        <v>0.91930000000000001</v>
      </c>
      <c r="I121" s="13">
        <f t="shared" si="12"/>
        <v>7.7999999999999996E-3</v>
      </c>
      <c r="J121" s="13">
        <f t="shared" si="12"/>
        <v>7.2900000000000006E-2</v>
      </c>
      <c r="K121" s="13">
        <f t="shared" si="12"/>
        <v>1</v>
      </c>
      <c r="M121" s="30">
        <f>C121/I121</f>
        <v>19.564102564102566</v>
      </c>
      <c r="N121" s="228"/>
      <c r="O121" s="99">
        <f>C121/I121</f>
        <v>19.564102564102566</v>
      </c>
      <c r="Q121" s="30"/>
    </row>
    <row r="122" spans="1:17" hidden="1" x14ac:dyDescent="0.25">
      <c r="A122" s="91" t="s">
        <v>202</v>
      </c>
      <c r="B122" s="258">
        <f>SUM(B120:B121)</f>
        <v>0.4988999999999999</v>
      </c>
      <c r="C122" s="258">
        <f t="shared" ref="C122:K122" si="13">SUM(C120:C121)</f>
        <v>0.10140000000000002</v>
      </c>
      <c r="D122" s="258">
        <f t="shared" si="13"/>
        <v>0.3997</v>
      </c>
      <c r="E122" s="258">
        <f t="shared" si="13"/>
        <v>0.99999999999999989</v>
      </c>
      <c r="F122" s="258"/>
      <c r="G122" s="258"/>
      <c r="H122" s="258">
        <f t="shared" si="13"/>
        <v>0.90110000000000001</v>
      </c>
      <c r="I122" s="258">
        <f t="shared" si="13"/>
        <v>2.1999999999999997E-3</v>
      </c>
      <c r="J122" s="258">
        <f t="shared" si="13"/>
        <v>9.6699999999999994E-2</v>
      </c>
      <c r="K122" s="13">
        <f t="shared" si="13"/>
        <v>1</v>
      </c>
      <c r="M122" s="30">
        <f>C122/I122</f>
        <v>46.090909090909108</v>
      </c>
      <c r="O122" s="99">
        <f>C122/I122</f>
        <v>46.090909090909108</v>
      </c>
      <c r="Q122" s="30"/>
    </row>
    <row r="123" spans="1:17" hidden="1" x14ac:dyDescent="0.25">
      <c r="A123" s="92" t="s">
        <v>203</v>
      </c>
      <c r="B123" s="13">
        <f>B101</f>
        <v>0.53979999999999995</v>
      </c>
      <c r="C123" s="13">
        <f t="shared" ref="C123:K123" si="14">C101</f>
        <v>8.77E-2</v>
      </c>
      <c r="D123" s="13">
        <f t="shared" si="14"/>
        <v>0.3725</v>
      </c>
      <c r="E123" s="13">
        <f t="shared" si="14"/>
        <v>1</v>
      </c>
      <c r="F123" s="13"/>
      <c r="G123" s="13"/>
      <c r="H123" s="13">
        <f t="shared" si="14"/>
        <v>0.90529999999999999</v>
      </c>
      <c r="I123" s="13">
        <f t="shared" si="14"/>
        <v>8.9999999999999998E-4</v>
      </c>
      <c r="J123" s="13">
        <f t="shared" si="14"/>
        <v>9.3799999999999994E-2</v>
      </c>
      <c r="K123" s="13">
        <f t="shared" si="14"/>
        <v>1</v>
      </c>
      <c r="M123" s="30">
        <f>C123/I123</f>
        <v>97.444444444444443</v>
      </c>
      <c r="N123" s="228"/>
      <c r="O123" s="99">
        <f>C123/I123</f>
        <v>97.444444444444443</v>
      </c>
      <c r="Q123" s="30"/>
    </row>
    <row r="124" spans="1:17" hidden="1" x14ac:dyDescent="0.25">
      <c r="A124" t="s">
        <v>84</v>
      </c>
      <c r="B124" s="258">
        <f>AVERAGE(B122:B123)</f>
        <v>0.51934999999999998</v>
      </c>
      <c r="C124" s="258">
        <f t="shared" ref="C124:K124" si="15">AVERAGE(C122:C123)</f>
        <v>9.4550000000000009E-2</v>
      </c>
      <c r="D124" s="258">
        <f t="shared" si="15"/>
        <v>0.3861</v>
      </c>
      <c r="E124" s="258">
        <f t="shared" si="15"/>
        <v>1</v>
      </c>
      <c r="F124" s="258"/>
      <c r="G124" s="258"/>
      <c r="H124" s="258">
        <f t="shared" si="15"/>
        <v>0.9032</v>
      </c>
      <c r="I124" s="258">
        <f t="shared" si="15"/>
        <v>1.5499999999999997E-3</v>
      </c>
      <c r="J124" s="258">
        <f t="shared" si="15"/>
        <v>9.5250000000000001E-2</v>
      </c>
      <c r="K124" s="258">
        <f t="shared" si="15"/>
        <v>1</v>
      </c>
      <c r="L124" s="258"/>
      <c r="M124" s="30"/>
      <c r="O124" s="99"/>
      <c r="Q124" s="30"/>
    </row>
    <row r="125" spans="1:17" hidden="1" x14ac:dyDescent="0.25">
      <c r="E125" s="13"/>
      <c r="K125" s="13"/>
    </row>
    <row r="126" spans="1:17" hidden="1" x14ac:dyDescent="0.25">
      <c r="A126" s="92" t="s">
        <v>204</v>
      </c>
      <c r="B126" s="13">
        <f>B89</f>
        <v>0.48649999999999999</v>
      </c>
      <c r="C126" s="13">
        <f t="shared" ref="C126:K126" si="16">C89</f>
        <v>7.3599999999999999E-2</v>
      </c>
      <c r="D126" s="13">
        <f t="shared" si="16"/>
        <v>0.43990000000000001</v>
      </c>
      <c r="E126" s="13">
        <f t="shared" si="16"/>
        <v>1</v>
      </c>
      <c r="F126" s="13"/>
      <c r="G126" s="13"/>
      <c r="H126" s="13">
        <f t="shared" si="16"/>
        <v>0.86850000000000005</v>
      </c>
      <c r="I126" s="13">
        <f t="shared" si="16"/>
        <v>1.4200000000000001E-2</v>
      </c>
      <c r="J126" s="13">
        <f t="shared" si="16"/>
        <v>0.1173</v>
      </c>
      <c r="K126" s="13">
        <f t="shared" si="16"/>
        <v>1</v>
      </c>
      <c r="M126" s="30">
        <f>C126/I126</f>
        <v>5.1830985915492951</v>
      </c>
      <c r="N126" s="228"/>
      <c r="O126" s="99">
        <f>C126/I126</f>
        <v>5.1830985915492951</v>
      </c>
    </row>
    <row r="127" spans="1:17" hidden="1" x14ac:dyDescent="0.25">
      <c r="A127" s="91" t="s">
        <v>205</v>
      </c>
      <c r="B127" s="13">
        <f>B77</f>
        <v>0.5423011693296439</v>
      </c>
      <c r="C127" s="13">
        <f t="shared" ref="C127:K127" si="17">C77</f>
        <v>8.3923948942247611E-2</v>
      </c>
      <c r="D127" s="13">
        <f t="shared" si="17"/>
        <v>0.37377488172810852</v>
      </c>
      <c r="E127" s="13">
        <f t="shared" si="17"/>
        <v>1</v>
      </c>
      <c r="F127" s="13"/>
      <c r="G127" s="13"/>
      <c r="H127" s="13">
        <f t="shared" si="17"/>
        <v>0.91022942541319585</v>
      </c>
      <c r="I127" s="13">
        <f t="shared" si="17"/>
        <v>2.5930879894474641E-2</v>
      </c>
      <c r="J127" s="13">
        <f t="shared" si="17"/>
        <v>6.3839694692329557E-2</v>
      </c>
      <c r="K127" s="13">
        <f t="shared" si="17"/>
        <v>1</v>
      </c>
      <c r="M127" s="30">
        <f>C127/I127</f>
        <v>3.2364481762198185</v>
      </c>
      <c r="N127" s="228"/>
      <c r="O127" s="99">
        <f>C127/I127</f>
        <v>3.2364481762198185</v>
      </c>
    </row>
    <row r="128" spans="1:17" ht="30" hidden="1" x14ac:dyDescent="0.25">
      <c r="A128" s="40" t="s">
        <v>206</v>
      </c>
      <c r="B128" s="13">
        <f>AVERAGE(B122,B123,B126,B127)</f>
        <v>0.51687529233241092</v>
      </c>
      <c r="C128" s="13">
        <f t="shared" ref="C128:K128" si="18">AVERAGE(C122,C123,C126,C127)</f>
        <v>8.6655987235561921E-2</v>
      </c>
      <c r="D128" s="13">
        <f t="shared" si="18"/>
        <v>0.39646872043202713</v>
      </c>
      <c r="E128" s="13">
        <f t="shared" si="18"/>
        <v>1</v>
      </c>
      <c r="F128" s="13"/>
      <c r="G128" s="13"/>
      <c r="H128" s="13">
        <f t="shared" si="18"/>
        <v>0.896282356353299</v>
      </c>
      <c r="I128" s="13">
        <f t="shared" si="18"/>
        <v>1.080771997361866E-2</v>
      </c>
      <c r="J128" s="13">
        <f t="shared" si="18"/>
        <v>9.2909923673082401E-2</v>
      </c>
      <c r="K128" s="13">
        <f t="shared" si="18"/>
        <v>1</v>
      </c>
    </row>
    <row r="129" spans="1:11" ht="30" hidden="1" x14ac:dyDescent="0.25">
      <c r="A129" s="40" t="s">
        <v>207</v>
      </c>
      <c r="B129" s="13">
        <f>AVERAGE(B122,B123,B126)</f>
        <v>0.50839999999999996</v>
      </c>
      <c r="C129" s="13">
        <f t="shared" ref="C129:K129" si="19">AVERAGE(C122,C123,C126)</f>
        <v>8.7566666666666682E-2</v>
      </c>
      <c r="D129" s="13">
        <f t="shared" si="19"/>
        <v>0.4040333333333333</v>
      </c>
      <c r="E129" s="13">
        <f t="shared" si="19"/>
        <v>1</v>
      </c>
      <c r="F129" s="13"/>
      <c r="G129" s="13"/>
      <c r="H129" s="13">
        <f t="shared" si="19"/>
        <v>0.89163333333333339</v>
      </c>
      <c r="I129" s="13">
        <f t="shared" si="19"/>
        <v>5.7666666666666665E-3</v>
      </c>
      <c r="J129" s="13">
        <f t="shared" si="19"/>
        <v>0.10260000000000001</v>
      </c>
      <c r="K129" s="13">
        <f t="shared" si="19"/>
        <v>1</v>
      </c>
    </row>
    <row r="132" spans="1:11" x14ac:dyDescent="0.25">
      <c r="B132" s="227"/>
    </row>
  </sheetData>
  <sheetProtection algorithmName="SHA-512" hashValue="Vd6ybiMh+vPty8uqPr0A172u2Nxlv2PnKCBkUKh7Xoz5a3yzaeoHBTeQf0TW8Jlgpj1vkjfRUsg/LCf3PIxdZw==" saltValue="uXGkiSe6+FmGoabW1E2+XQ=="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51"/>
  <sheetViews>
    <sheetView workbookViewId="0">
      <pane ySplit="1" topLeftCell="A123" activePane="bottomLeft" state="frozen"/>
      <selection pane="bottomLeft" activeCell="A140" sqref="A140:XFD150"/>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5" x14ac:dyDescent="0.25">
      <c r="A129" s="14">
        <v>45444</v>
      </c>
      <c r="B129" s="25">
        <v>3.9065999999999997E-2</v>
      </c>
    </row>
    <row r="130" spans="1:5" x14ac:dyDescent="0.25">
      <c r="A130" s="14">
        <v>45474</v>
      </c>
      <c r="B130" s="25">
        <v>3.8640000000000001E-2</v>
      </c>
    </row>
    <row r="131" spans="1:5" x14ac:dyDescent="0.25">
      <c r="A131" s="14">
        <v>45505</v>
      </c>
      <c r="B131" s="25">
        <v>3.8317999999999998E-2</v>
      </c>
    </row>
    <row r="132" spans="1:5" x14ac:dyDescent="0.25">
      <c r="A132" s="14">
        <v>45536</v>
      </c>
      <c r="B132" s="25">
        <v>3.9378000000000003E-2</v>
      </c>
    </row>
    <row r="133" spans="1:5" x14ac:dyDescent="0.25">
      <c r="A133" s="14">
        <v>45566</v>
      </c>
      <c r="B133" s="25">
        <v>4.0328999999999997E-2</v>
      </c>
    </row>
    <row r="134" spans="1:5" x14ac:dyDescent="0.25">
      <c r="A134" s="14"/>
      <c r="B134" s="25"/>
    </row>
    <row r="135" spans="1:5" x14ac:dyDescent="0.25">
      <c r="A135" s="14"/>
      <c r="B135" s="25"/>
    </row>
    <row r="136" spans="1:5" x14ac:dyDescent="0.25">
      <c r="A136" s="262"/>
      <c r="B136" s="25"/>
    </row>
    <row r="137" spans="1:5" ht="45" x14ac:dyDescent="0.25">
      <c r="A137" s="27">
        <f>Pooling_Month</f>
        <v>45627</v>
      </c>
      <c r="B137" s="20" t="s">
        <v>65</v>
      </c>
    </row>
    <row r="138" spans="1:5" x14ac:dyDescent="0.25">
      <c r="A138" s="31" t="s">
        <v>60</v>
      </c>
      <c r="B138" s="32">
        <v>4.0328999999999997E-2</v>
      </c>
    </row>
    <row r="140" spans="1:5" ht="14.25" hidden="1" customHeight="1" x14ac:dyDescent="0.25">
      <c r="E140" t="s">
        <v>193</v>
      </c>
    </row>
    <row r="141" spans="1:5" ht="30" hidden="1" x14ac:dyDescent="0.25">
      <c r="A141" s="40" t="s">
        <v>211</v>
      </c>
      <c r="B141" s="25">
        <f>B123-B121</f>
        <v>3.5299999999999915E-4</v>
      </c>
    </row>
    <row r="142" spans="1:5" hidden="1" x14ac:dyDescent="0.25">
      <c r="A142" s="93" t="s">
        <v>212</v>
      </c>
      <c r="B142" s="25">
        <f>B133</f>
        <v>4.0328999999999997E-2</v>
      </c>
    </row>
    <row r="143" spans="1:5" hidden="1" x14ac:dyDescent="0.25">
      <c r="A143" s="91" t="s">
        <v>202</v>
      </c>
      <c r="B143" s="25">
        <f>SUM(B141:B142)</f>
        <v>4.0681999999999996E-2</v>
      </c>
    </row>
    <row r="144" spans="1:5" hidden="1" x14ac:dyDescent="0.25">
      <c r="A144" s="92" t="s">
        <v>203</v>
      </c>
      <c r="B144" s="25">
        <f>B123</f>
        <v>4.0779999999999997E-2</v>
      </c>
    </row>
    <row r="145" spans="1:2" hidden="1" x14ac:dyDescent="0.25">
      <c r="A145" t="s">
        <v>84</v>
      </c>
      <c r="B145" s="25">
        <f>AVERAGE(B143:B144)</f>
        <v>4.0730999999999996E-2</v>
      </c>
    </row>
    <row r="146" spans="1:2" hidden="1" x14ac:dyDescent="0.25">
      <c r="B146" s="25"/>
    </row>
    <row r="147" spans="1:2" hidden="1" x14ac:dyDescent="0.25">
      <c r="A147" s="92" t="s">
        <v>204</v>
      </c>
      <c r="B147" s="25">
        <f>B111</f>
        <v>4.0015000000000002E-2</v>
      </c>
    </row>
    <row r="148" spans="1:2" hidden="1" x14ac:dyDescent="0.25">
      <c r="A148" s="91" t="s">
        <v>205</v>
      </c>
      <c r="B148" s="25">
        <f>B99</f>
        <v>3.8668000000000001E-2</v>
      </c>
    </row>
    <row r="149" spans="1:2" ht="30" hidden="1" x14ac:dyDescent="0.25">
      <c r="A149" s="40" t="s">
        <v>206</v>
      </c>
      <c r="B149" s="25">
        <f>(B143+B144+B147+B148)/4</f>
        <v>4.0036250000000002E-2</v>
      </c>
    </row>
    <row r="150" spans="1:2" hidden="1" x14ac:dyDescent="0.25">
      <c r="A150" s="40" t="s">
        <v>207</v>
      </c>
      <c r="B150" s="25">
        <f>(B143+B144+B147)/3</f>
        <v>4.0492333333333332E-2</v>
      </c>
    </row>
    <row r="151" spans="1:2" x14ac:dyDescent="0.25">
      <c r="A151" s="40"/>
    </row>
  </sheetData>
  <sheetProtection algorithmName="SHA-512" hashValue="4I4kWkGe8XG2Gj/O8Qx+Wa4bziZOB35OBR29R7nFmhyQtRhkRTS1sg3nRA/y9BZlXEDc3HC2epjwJE9Qt5VWtQ==" saltValue="jfv3DWfs4ScJKT91HXv7rA=="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150"/>
  <sheetViews>
    <sheetView workbookViewId="0">
      <pane ySplit="1" topLeftCell="A120" activePane="bottomLeft" state="frozen"/>
      <selection pane="bottomLeft" activeCell="A141" sqref="A141:XFD146"/>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4" x14ac:dyDescent="0.25">
      <c r="A129" s="14">
        <v>45444</v>
      </c>
      <c r="B129" s="21">
        <v>529125</v>
      </c>
    </row>
    <row r="130" spans="1:4" x14ac:dyDescent="0.25">
      <c r="A130" s="14">
        <v>45474</v>
      </c>
      <c r="B130" s="21">
        <v>527724</v>
      </c>
    </row>
    <row r="131" spans="1:4" x14ac:dyDescent="0.25">
      <c r="A131" s="14">
        <v>45505</v>
      </c>
      <c r="B131" s="21">
        <v>504387</v>
      </c>
    </row>
    <row r="132" spans="1:4" x14ac:dyDescent="0.25">
      <c r="A132" s="14">
        <v>45536</v>
      </c>
      <c r="B132" s="21">
        <v>505714</v>
      </c>
    </row>
    <row r="133" spans="1:4" x14ac:dyDescent="0.25">
      <c r="A133" s="14">
        <v>45566</v>
      </c>
      <c r="B133" s="21">
        <v>501102</v>
      </c>
    </row>
    <row r="134" spans="1:4" x14ac:dyDescent="0.25">
      <c r="A134" s="14"/>
      <c r="B134" s="21"/>
    </row>
    <row r="135" spans="1:4" x14ac:dyDescent="0.25">
      <c r="A135" s="14"/>
      <c r="B135" s="21"/>
    </row>
    <row r="136" spans="1:4" x14ac:dyDescent="0.25">
      <c r="A136" s="14"/>
      <c r="B136" s="21"/>
    </row>
    <row r="137" spans="1:4" ht="45" x14ac:dyDescent="0.25">
      <c r="A137" s="27">
        <f>Pooling_Month</f>
        <v>45627</v>
      </c>
      <c r="B137" s="20" t="s">
        <v>67</v>
      </c>
    </row>
    <row r="138" spans="1:4" x14ac:dyDescent="0.25">
      <c r="A138" s="31" t="s">
        <v>60</v>
      </c>
      <c r="B138" s="33">
        <v>514667</v>
      </c>
    </row>
    <row r="139" spans="1:4" ht="16.5" customHeight="1" x14ac:dyDescent="0.25"/>
    <row r="141" spans="1:4" ht="30" hidden="1" x14ac:dyDescent="0.25">
      <c r="A141" s="40" t="s">
        <v>211</v>
      </c>
      <c r="B141" s="217">
        <f>B123-B121</f>
        <v>13565</v>
      </c>
      <c r="D141" t="s">
        <v>191</v>
      </c>
    </row>
    <row r="142" spans="1:4" hidden="1" x14ac:dyDescent="0.25">
      <c r="A142" s="93" t="s">
        <v>212</v>
      </c>
      <c r="B142" s="94">
        <f>B133</f>
        <v>501102</v>
      </c>
    </row>
    <row r="143" spans="1:4" hidden="1" x14ac:dyDescent="0.25">
      <c r="A143" s="91" t="s">
        <v>202</v>
      </c>
      <c r="B143" s="94">
        <f>SUM(B141:B142)</f>
        <v>514667</v>
      </c>
      <c r="C143" s="101"/>
      <c r="D143" s="101"/>
    </row>
    <row r="144" spans="1:4" hidden="1" x14ac:dyDescent="0.25">
      <c r="A144" s="92" t="s">
        <v>203</v>
      </c>
      <c r="B144" s="94">
        <f>B123</f>
        <v>535434</v>
      </c>
      <c r="C144" s="101"/>
      <c r="D144" s="101"/>
    </row>
    <row r="145" spans="1:6" hidden="1" x14ac:dyDescent="0.25">
      <c r="A145" t="s">
        <v>84</v>
      </c>
      <c r="B145" s="94">
        <f>AVERAGE(B143:B144)</f>
        <v>525050.5</v>
      </c>
      <c r="D145" s="101"/>
    </row>
    <row r="146" spans="1:6" hidden="1" x14ac:dyDescent="0.25">
      <c r="D146" s="101"/>
    </row>
    <row r="147" spans="1:6" x14ac:dyDescent="0.25">
      <c r="A147" s="92"/>
      <c r="D147" s="101"/>
      <c r="E147" s="94"/>
      <c r="F147" s="94"/>
    </row>
    <row r="148" spans="1:6" x14ac:dyDescent="0.25">
      <c r="A148" s="91"/>
    </row>
    <row r="149" spans="1:6" x14ac:dyDescent="0.25">
      <c r="A149" s="40"/>
    </row>
    <row r="150" spans="1:6" x14ac:dyDescent="0.25">
      <c r="A150" s="40"/>
    </row>
  </sheetData>
  <sheetProtection algorithmName="SHA-512" hashValue="8hwT1+Wsp5jZzIzqeJqjH40QGrKn9kCPXcozrgBv+bOiG9rP4ErlDPfiTN96eV6O/avdEBCrNrOxe9pBrlIPhw==" saltValue="0v21LV0GxJBaLK8+JCAA+A=="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59"/>
  <sheetViews>
    <sheetView workbookViewId="0">
      <pane ySplit="1" topLeftCell="A126" activePane="bottomLeft" state="frozen"/>
      <selection pane="bottomLeft" activeCell="A160" sqref="A160"/>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5" x14ac:dyDescent="0.25">
      <c r="A129" s="14">
        <v>45444</v>
      </c>
      <c r="B129" s="25">
        <v>7.0410000000000004E-3</v>
      </c>
    </row>
    <row r="130" spans="1:5" x14ac:dyDescent="0.25">
      <c r="A130" s="14">
        <v>45474</v>
      </c>
      <c r="B130" s="25">
        <v>6.992E-3</v>
      </c>
    </row>
    <row r="131" spans="1:5" x14ac:dyDescent="0.25">
      <c r="A131" s="14">
        <v>45505</v>
      </c>
      <c r="B131" s="25">
        <v>8.9189999999999998E-3</v>
      </c>
    </row>
    <row r="132" spans="1:5" x14ac:dyDescent="0.25">
      <c r="A132" s="14">
        <v>45536</v>
      </c>
      <c r="B132" s="25">
        <v>7.4229999999999999E-3</v>
      </c>
    </row>
    <row r="133" spans="1:5" x14ac:dyDescent="0.25">
      <c r="A133" s="14">
        <v>45566</v>
      </c>
      <c r="B133" s="25">
        <v>6.6740000000000002E-3</v>
      </c>
    </row>
    <row r="134" spans="1:5" x14ac:dyDescent="0.25">
      <c r="A134" s="14"/>
      <c r="B134" s="25"/>
    </row>
    <row r="135" spans="1:5" x14ac:dyDescent="0.25">
      <c r="A135" s="14"/>
      <c r="B135" s="25"/>
    </row>
    <row r="136" spans="1:5" x14ac:dyDescent="0.25">
      <c r="A136" s="14"/>
    </row>
    <row r="137" spans="1:5" ht="60" x14ac:dyDescent="0.25">
      <c r="A137" s="27">
        <f>Pooling_Month</f>
        <v>45627</v>
      </c>
      <c r="B137" s="29" t="s">
        <v>69</v>
      </c>
    </row>
    <row r="138" spans="1:5" x14ac:dyDescent="0.25">
      <c r="A138" s="31" t="s">
        <v>60</v>
      </c>
      <c r="B138" s="32">
        <v>9.6579999999999999E-3</v>
      </c>
    </row>
    <row r="139" spans="1:5" ht="17.25" customHeight="1" x14ac:dyDescent="0.25"/>
    <row r="140" spans="1:5" hidden="1" x14ac:dyDescent="0.25">
      <c r="E140" t="s">
        <v>194</v>
      </c>
    </row>
    <row r="141" spans="1:5" ht="30" hidden="1" x14ac:dyDescent="0.25">
      <c r="A141" s="40" t="s">
        <v>211</v>
      </c>
      <c r="B141" s="95">
        <f>B123-B121</f>
        <v>2.9840000000000001E-3</v>
      </c>
    </row>
    <row r="142" spans="1:5" hidden="1" x14ac:dyDescent="0.25">
      <c r="A142" s="93" t="s">
        <v>212</v>
      </c>
      <c r="B142" s="95">
        <f>B133</f>
        <v>6.6740000000000002E-3</v>
      </c>
    </row>
    <row r="143" spans="1:5" hidden="1" x14ac:dyDescent="0.25">
      <c r="A143" s="91" t="s">
        <v>202</v>
      </c>
      <c r="B143" s="95">
        <f>SUM(B141:B142)</f>
        <v>9.6579999999999999E-3</v>
      </c>
    </row>
    <row r="144" spans="1:5" hidden="1" x14ac:dyDescent="0.25">
      <c r="A144" s="92" t="s">
        <v>203</v>
      </c>
      <c r="B144" s="95">
        <f>B123</f>
        <v>6.8479999999999999E-3</v>
      </c>
    </row>
    <row r="145" spans="1:2" hidden="1" x14ac:dyDescent="0.25">
      <c r="A145" s="92" t="s">
        <v>204</v>
      </c>
      <c r="B145" s="95">
        <f>B111</f>
        <v>1.967E-3</v>
      </c>
    </row>
    <row r="146" spans="1:2" hidden="1" x14ac:dyDescent="0.25">
      <c r="A146" s="91" t="s">
        <v>205</v>
      </c>
      <c r="B146" s="95">
        <f>B99</f>
        <v>8.5019999999999991E-3</v>
      </c>
    </row>
    <row r="147" spans="1:2" ht="30" hidden="1" x14ac:dyDescent="0.25">
      <c r="A147" s="40" t="s">
        <v>206</v>
      </c>
      <c r="B147" s="95">
        <f>AVERAGE(B143:B146)</f>
        <v>6.7437499999999997E-3</v>
      </c>
    </row>
    <row r="148" spans="1:2" ht="30" hidden="1" x14ac:dyDescent="0.25">
      <c r="A148" s="40" t="s">
        <v>207</v>
      </c>
      <c r="B148" s="25">
        <f>AVERAGE(B143:B145)</f>
        <v>6.1576666666666663E-3</v>
      </c>
    </row>
    <row r="149" spans="1:2" hidden="1" x14ac:dyDescent="0.25"/>
    <row r="151" spans="1:2" x14ac:dyDescent="0.25">
      <c r="A151" s="40"/>
    </row>
    <row r="152" spans="1:2" x14ac:dyDescent="0.25">
      <c r="A152" s="93"/>
    </row>
    <row r="153" spans="1:2" x14ac:dyDescent="0.25">
      <c r="A153" s="91"/>
    </row>
    <row r="154" spans="1:2" x14ac:dyDescent="0.25">
      <c r="A154" s="92"/>
    </row>
    <row r="156" spans="1:2" x14ac:dyDescent="0.25">
      <c r="A156" s="92"/>
    </row>
    <row r="157" spans="1:2" x14ac:dyDescent="0.25">
      <c r="A157" s="92"/>
    </row>
    <row r="158" spans="1:2" x14ac:dyDescent="0.25">
      <c r="A158" s="91"/>
    </row>
    <row r="159" spans="1:2" x14ac:dyDescent="0.25">
      <c r="A159" s="40"/>
    </row>
  </sheetData>
  <sheetProtection algorithmName="SHA-512" hashValue="9PxO9uEJ76MtXzcy2KQWNLaerihlqRZomfjjzOvmUJmyZuwvkAmNMH8iIs/CwBNoYDwpr5qR23ruIGrGqJJu+A==" saltValue="cD2EwFG/nvoMaEE9pR4DdA=="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3"/>
  <sheetViews>
    <sheetView workbookViewId="0">
      <pane ySplit="4" topLeftCell="A136" activePane="bottomLeft" state="frozenSplit"/>
      <selection pane="bottomLeft" activeCell="A143" sqref="A143:XFD153"/>
    </sheetView>
  </sheetViews>
  <sheetFormatPr defaultRowHeight="15" x14ac:dyDescent="0.25"/>
  <cols>
    <col min="1" max="1" width="27" customWidth="1"/>
    <col min="2" max="2" width="17.85546875" customWidth="1"/>
    <col min="3" max="3" width="18" customWidth="1"/>
    <col min="5" max="5" width="12.42578125" customWidth="1"/>
    <col min="6" max="6" width="20.42578125" hidden="1" customWidth="1"/>
    <col min="9" max="9" width="9.140625" customWidth="1"/>
  </cols>
  <sheetData>
    <row r="1" spans="1:6" x14ac:dyDescent="0.25">
      <c r="A1" s="23" t="s">
        <v>55</v>
      </c>
      <c r="B1" s="23" t="s">
        <v>79</v>
      </c>
      <c r="E1" s="216" t="s">
        <v>208</v>
      </c>
    </row>
    <row r="2" spans="1:6" x14ac:dyDescent="0.25">
      <c r="A2" s="22" t="s">
        <v>56</v>
      </c>
      <c r="B2" s="22" t="s">
        <v>57</v>
      </c>
    </row>
    <row r="4" spans="1:6" ht="90" x14ac:dyDescent="0.25">
      <c r="A4" s="24" t="s">
        <v>0</v>
      </c>
      <c r="B4" s="20" t="s">
        <v>138</v>
      </c>
      <c r="C4" s="20" t="s">
        <v>139</v>
      </c>
      <c r="F4" s="28" t="s">
        <v>85</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36"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v>45505</v>
      </c>
      <c r="B134" s="25">
        <v>0.17039399999999999</v>
      </c>
      <c r="C134" s="25">
        <v>0.27133800000000002</v>
      </c>
      <c r="F134" s="256">
        <f t="shared" si="7"/>
        <v>1.5924152258882358</v>
      </c>
    </row>
    <row r="135" spans="1:6" x14ac:dyDescent="0.25">
      <c r="A135" s="14">
        <v>45536</v>
      </c>
      <c r="B135" s="25">
        <v>0.15028</v>
      </c>
      <c r="C135" s="25">
        <v>0.24710799999999999</v>
      </c>
      <c r="F135" s="256">
        <f t="shared" si="7"/>
        <v>1.6443172744210806</v>
      </c>
    </row>
    <row r="136" spans="1:6" x14ac:dyDescent="0.25">
      <c r="A136" s="14">
        <v>45566</v>
      </c>
      <c r="B136" s="25">
        <v>0.15873399999999999</v>
      </c>
      <c r="C136" s="25">
        <v>0.26858500000000002</v>
      </c>
      <c r="F136" s="256">
        <f t="shared" si="7"/>
        <v>1.6920445525218293</v>
      </c>
    </row>
    <row r="137" spans="1:6" x14ac:dyDescent="0.25">
      <c r="A137" s="14"/>
      <c r="B137" s="25"/>
      <c r="C137" s="25"/>
      <c r="F137" s="256"/>
    </row>
    <row r="138" spans="1:6" x14ac:dyDescent="0.25">
      <c r="A138" s="14"/>
      <c r="B138" s="25"/>
      <c r="C138" s="25"/>
      <c r="F138" s="256"/>
    </row>
    <row r="139" spans="1:6" x14ac:dyDescent="0.25">
      <c r="A139" s="257"/>
    </row>
    <row r="140" spans="1:6" ht="90" x14ac:dyDescent="0.25">
      <c r="A140" s="27">
        <f>Pooling_Month</f>
        <v>45627</v>
      </c>
      <c r="B140" s="20" t="s">
        <v>134</v>
      </c>
      <c r="C140" s="20" t="s">
        <v>135</v>
      </c>
    </row>
    <row r="141" spans="1:6" x14ac:dyDescent="0.25">
      <c r="A141" s="31" t="s">
        <v>60</v>
      </c>
      <c r="B141" s="32">
        <v>0.14862899999999998</v>
      </c>
      <c r="C141" s="32">
        <v>0.25171900000000003</v>
      </c>
      <c r="E141" s="30"/>
      <c r="F141" s="96">
        <f t="shared" ref="F141" si="8">C141/B141</f>
        <v>1.6936062275868105</v>
      </c>
    </row>
    <row r="142" spans="1:6" ht="18" customHeight="1" x14ac:dyDescent="0.25"/>
    <row r="143" spans="1:6" hidden="1" x14ac:dyDescent="0.25">
      <c r="E143" t="s">
        <v>195</v>
      </c>
    </row>
    <row r="144" spans="1:6" ht="30" hidden="1" x14ac:dyDescent="0.25">
      <c r="A144" s="40" t="s">
        <v>211</v>
      </c>
      <c r="B144" s="95">
        <f>B126-B124</f>
        <v>-1.0105000000000003E-2</v>
      </c>
      <c r="C144" s="95">
        <f>C126-C124</f>
        <v>-1.6865999999999992E-2</v>
      </c>
      <c r="F144" t="s">
        <v>190</v>
      </c>
    </row>
    <row r="145" spans="1:11" ht="15.75" hidden="1" thickBot="1" x14ac:dyDescent="0.3">
      <c r="A145" s="93" t="s">
        <v>212</v>
      </c>
      <c r="B145" s="95">
        <f>B136</f>
        <v>0.15873399999999999</v>
      </c>
      <c r="C145" s="95">
        <f>C136</f>
        <v>0.26858500000000002</v>
      </c>
      <c r="F145" s="256">
        <f t="shared" ref="F145" si="9">C145/B145</f>
        <v>1.6920445525218293</v>
      </c>
    </row>
    <row r="146" spans="1:11" ht="15.75" hidden="1" thickBot="1" x14ac:dyDescent="0.3">
      <c r="A146" s="91" t="s">
        <v>202</v>
      </c>
      <c r="B146" s="95">
        <f>SUM(B144:B145)</f>
        <v>0.14862899999999998</v>
      </c>
      <c r="C146" s="95">
        <f>SUM(C144:C145)</f>
        <v>0.25171900000000003</v>
      </c>
      <c r="E146" s="263" t="s">
        <v>213</v>
      </c>
      <c r="F146" s="264">
        <f t="shared" ref="F146:F147" si="10">C146/B146</f>
        <v>1.6936062275868105</v>
      </c>
      <c r="G146" s="265"/>
      <c r="H146" s="265"/>
      <c r="I146" s="265"/>
      <c r="J146" s="266">
        <v>0.18159900000000001</v>
      </c>
      <c r="K146" s="267">
        <v>0.313697</v>
      </c>
    </row>
    <row r="147" spans="1:11" hidden="1" x14ac:dyDescent="0.25">
      <c r="A147" s="92" t="s">
        <v>203</v>
      </c>
      <c r="B147" s="95">
        <f>B126</f>
        <v>0.179337</v>
      </c>
      <c r="C147" s="95">
        <f>C126</f>
        <v>0.31408700000000001</v>
      </c>
      <c r="F147" s="96">
        <f t="shared" si="10"/>
        <v>1.7513786892833048</v>
      </c>
    </row>
    <row r="148" spans="1:11" hidden="1" x14ac:dyDescent="0.25">
      <c r="A148" t="s">
        <v>84</v>
      </c>
      <c r="B148" s="95">
        <f>AVERAGE(B146:B147)</f>
        <v>0.16398299999999999</v>
      </c>
      <c r="C148" s="95">
        <f>AVERAGE(C146:C147)</f>
        <v>0.28290300000000002</v>
      </c>
      <c r="F148" s="96">
        <f>C148/B148</f>
        <v>1.7251971240921318</v>
      </c>
    </row>
    <row r="149" spans="1:11" hidden="1" x14ac:dyDescent="0.25">
      <c r="B149" s="95"/>
      <c r="C149" s="95"/>
      <c r="F149" s="96" t="e">
        <f t="shared" ref="F149" si="11">C149/B149</f>
        <v>#DIV/0!</v>
      </c>
    </row>
    <row r="150" spans="1:11" hidden="1" x14ac:dyDescent="0.25">
      <c r="A150" s="92" t="s">
        <v>204</v>
      </c>
      <c r="B150" s="95">
        <f>B113</f>
        <v>0.194795</v>
      </c>
      <c r="C150" s="95">
        <f>C113</f>
        <v>0.35031899999999999</v>
      </c>
      <c r="F150" s="97" t="e">
        <f>AVERAGE(F146:F149)</f>
        <v>#DIV/0!</v>
      </c>
    </row>
    <row r="151" spans="1:11" hidden="1" x14ac:dyDescent="0.25">
      <c r="A151" s="91" t="s">
        <v>205</v>
      </c>
      <c r="B151" s="25">
        <f>B102</f>
        <v>0.17610799999999999</v>
      </c>
      <c r="C151" s="25">
        <f>C102</f>
        <v>0.31282700000000002</v>
      </c>
    </row>
    <row r="152" spans="1:11" ht="30" hidden="1" x14ac:dyDescent="0.25">
      <c r="A152" s="40" t="s">
        <v>206</v>
      </c>
      <c r="B152" s="25">
        <f>AVERAGE(B146,B147,B150,B151)</f>
        <v>0.17471724999999999</v>
      </c>
      <c r="C152" s="25">
        <f>AVERAGE(C146,C147,C150,C151)</f>
        <v>0.30723800000000001</v>
      </c>
      <c r="F152" s="96">
        <f>C152/B152</f>
        <v>1.7584869267344811</v>
      </c>
    </row>
    <row r="153" spans="1:11" ht="30" hidden="1" x14ac:dyDescent="0.25">
      <c r="A153" s="40" t="s">
        <v>207</v>
      </c>
      <c r="B153" s="25">
        <f>AVERAGE(B146,B147,B150)</f>
        <v>0.17425366666666667</v>
      </c>
      <c r="C153" s="25">
        <f>AVERAGE(C146,C147,C150)</f>
        <v>0.30537500000000001</v>
      </c>
      <c r="F153" s="96">
        <f>C153/B153</f>
        <v>1.752473883858972</v>
      </c>
    </row>
  </sheetData>
  <sheetProtection algorithmName="SHA-512" hashValue="8U7cmbLs6BQnqRakyqM/Av/wX1TUDfhQk3XdapV2weqjGg1DmzdwA6SHoJ/3vHv9XeCBsY+m2IGWOQjUEaiTFg==" saltValue="EQYv/vqPFg/kopVPgAkYb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2024-11-20T20:47:50Z</dcterms:modified>
</cp:coreProperties>
</file>