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4\"/>
    </mc:Choice>
  </mc:AlternateContent>
  <xr:revisionPtr revIDLastSave="0" documentId="13_ncr:1_{6252A9D6-AA8D-4A80-9B09-714E90259963}" xr6:coauthVersionLast="47" xr6:coauthVersionMax="47" xr10:uidLastSave="{00000000-0000-0000-0000-000000000000}"/>
  <bookViews>
    <workbookView xWindow="28680" yWindow="-75" windowWidth="29040" windowHeight="15840" tabRatio="811" firstSheet="1" activeTab="1" xr2:uid="{00000000-000D-0000-FFFF-FFFF00000000}"/>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Rec'!$B$138</definedName>
    <definedName name="EstClsIBFUtPerc">'Monthly Utilization by Class'!$B$117</definedName>
    <definedName name="EstClsIIBFUtPerc">'Monthly Utilization by Class'!$C$117</definedName>
    <definedName name="EstClsIIIBFUtPerc">'Monthly Utilization by Class'!$D$117</definedName>
    <definedName name="EstClsIIISkimUtPerc">'Monthly Utilization by Class'!$J$117</definedName>
    <definedName name="EstClsIISkimUTPerc">'Monthly Utilization by Class'!$I$117</definedName>
    <definedName name="EstClsIPckgSurpPoolBFUtPerc">'Percent Cls I Package Surplus'!$B$141</definedName>
    <definedName name="EstClsIPckgSurpPoolSkimUtPerc">'Percent Cls I Package Surplus'!$C$141</definedName>
    <definedName name="EstClsISkimUtPerc">'Monthly Utilization by Class'!$H$117</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Contiguous'!$B$115</definedName>
    <definedName name="PoolButterfatPercent">'Monthly Pool Butterfat Percent'!$B$138</definedName>
    <definedName name="PoolDailyProd">'Monthly Avg Daily Production'!$B$138</definedName>
    <definedName name="Pooling_Month">'Quota Price Estimator'!$B$4</definedName>
    <definedName name="PoolOverQuotaProdPerc">'Monthly Excess Milk Percentage'!$B$138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8" i="7" l="1"/>
  <c r="B147" i="7"/>
  <c r="B144" i="7"/>
  <c r="B142" i="7"/>
  <c r="B141" i="7"/>
  <c r="B124" i="8"/>
  <c r="B121" i="8"/>
  <c r="B119" i="8"/>
  <c r="B118" i="8"/>
  <c r="B147" i="6"/>
  <c r="B145" i="6"/>
  <c r="C144" i="6"/>
  <c r="B144" i="6"/>
  <c r="C145" i="6"/>
  <c r="B150" i="6"/>
  <c r="C147" i="6"/>
  <c r="F133" i="6"/>
  <c r="C151" i="6"/>
  <c r="B151" i="6"/>
  <c r="C150" i="6"/>
  <c r="B146" i="5"/>
  <c r="B145" i="5"/>
  <c r="B144" i="5"/>
  <c r="B142" i="5"/>
  <c r="B141" i="5"/>
  <c r="B144" i="4"/>
  <c r="B142" i="4"/>
  <c r="B141" i="4"/>
  <c r="B148" i="3"/>
  <c r="B147" i="3"/>
  <c r="B144" i="3"/>
  <c r="B142" i="3"/>
  <c r="B141" i="3"/>
  <c r="I127" i="2"/>
  <c r="J127" i="2"/>
  <c r="K127" i="2"/>
  <c r="H127" i="2"/>
  <c r="I126" i="2"/>
  <c r="J126" i="2"/>
  <c r="K126" i="2"/>
  <c r="H126" i="2"/>
  <c r="I123" i="2"/>
  <c r="J123" i="2"/>
  <c r="K123" i="2"/>
  <c r="H123" i="2"/>
  <c r="I121" i="2"/>
  <c r="J121" i="2"/>
  <c r="K121" i="2"/>
  <c r="H121" i="2"/>
  <c r="I120" i="2"/>
  <c r="J120" i="2"/>
  <c r="K120" i="2"/>
  <c r="H120" i="2"/>
  <c r="C127" i="2"/>
  <c r="D127" i="2"/>
  <c r="E127" i="2"/>
  <c r="B127" i="2"/>
  <c r="C126" i="2"/>
  <c r="D126" i="2"/>
  <c r="E126" i="2"/>
  <c r="B126" i="2"/>
  <c r="C123" i="2"/>
  <c r="D123" i="2"/>
  <c r="E123" i="2"/>
  <c r="B123" i="2"/>
  <c r="C121" i="2"/>
  <c r="D121" i="2"/>
  <c r="E121" i="2"/>
  <c r="B121" i="2"/>
  <c r="C120" i="2"/>
  <c r="D120" i="2"/>
  <c r="E120" i="2"/>
  <c r="B120" i="2"/>
  <c r="K108" i="2"/>
  <c r="E108" i="2"/>
  <c r="B5" i="1"/>
  <c r="B13" i="1"/>
  <c r="C13" i="1"/>
  <c r="C16" i="1"/>
  <c r="C146" i="6"/>
  <c r="F132" i="6"/>
  <c r="C148" i="6"/>
  <c r="C122" i="2"/>
  <c r="C124" i="2"/>
  <c r="D122" i="2"/>
  <c r="D124" i="2"/>
  <c r="H122" i="2"/>
  <c r="H124" i="2"/>
  <c r="I122" i="2"/>
  <c r="I124" i="2"/>
  <c r="J122" i="2"/>
  <c r="J124" i="2"/>
  <c r="K124" i="2"/>
  <c r="K122" i="2"/>
  <c r="K107" i="2"/>
  <c r="E107" i="2"/>
  <c r="F131" i="6"/>
  <c r="H106" i="2"/>
  <c r="E106" i="2"/>
  <c r="K106" i="2"/>
  <c r="F130" i="6"/>
  <c r="K105" i="2"/>
  <c r="B105" i="2"/>
  <c r="E105" i="2"/>
  <c r="B143" i="3"/>
  <c r="B143" i="5"/>
  <c r="B143" i="4"/>
  <c r="B145" i="4"/>
  <c r="M127" i="2"/>
  <c r="O126" i="2"/>
  <c r="B122" i="2"/>
  <c r="E122" i="2"/>
  <c r="F129" i="6"/>
  <c r="K104" i="2"/>
  <c r="E104" i="2"/>
  <c r="A2" i="1"/>
  <c r="A2" i="10"/>
  <c r="B143" i="7"/>
  <c r="F147" i="6"/>
  <c r="F128" i="6"/>
  <c r="B120" i="8"/>
  <c r="B103" i="2"/>
  <c r="E103" i="2"/>
  <c r="K103" i="2"/>
  <c r="F127" i="6"/>
  <c r="K102" i="2"/>
  <c r="E102" i="2"/>
  <c r="F126" i="6"/>
  <c r="K101" i="2"/>
  <c r="E101" i="2"/>
  <c r="F125" i="6"/>
  <c r="K100" i="2"/>
  <c r="E100" i="2"/>
  <c r="B146" i="6"/>
  <c r="B152" i="6"/>
  <c r="F124" i="6"/>
  <c r="K99" i="2"/>
  <c r="E99" i="2"/>
  <c r="F145" i="6"/>
  <c r="F123" i="6"/>
  <c r="E98" i="2"/>
  <c r="K98" i="2"/>
  <c r="F122" i="6"/>
  <c r="H87" i="2"/>
  <c r="K87" i="2"/>
  <c r="K97" i="2"/>
  <c r="E97" i="2"/>
  <c r="D27" i="1"/>
  <c r="B21" i="11"/>
  <c r="F121" i="6"/>
  <c r="K95" i="2"/>
  <c r="E95" i="2"/>
  <c r="F119" i="6"/>
  <c r="K94" i="2"/>
  <c r="E94" i="2"/>
  <c r="F120" i="6"/>
  <c r="K96" i="2"/>
  <c r="E96" i="2"/>
  <c r="F118" i="6"/>
  <c r="K93" i="2"/>
  <c r="E93" i="2"/>
  <c r="B72" i="1"/>
  <c r="B73" i="1"/>
  <c r="B77" i="1" s="1"/>
  <c r="P83" i="1"/>
  <c r="N83" i="1"/>
  <c r="N91" i="1" s="1"/>
  <c r="O91" i="1"/>
  <c r="G83" i="1" s="1"/>
  <c r="F117" i="6"/>
  <c r="K92" i="2"/>
  <c r="E92" i="2"/>
  <c r="F116" i="6"/>
  <c r="K91" i="2"/>
  <c r="B91" i="2"/>
  <c r="F115" i="6"/>
  <c r="K90" i="2"/>
  <c r="E90" i="2"/>
  <c r="F114" i="6"/>
  <c r="H89" i="2"/>
  <c r="K89" i="2"/>
  <c r="B89" i="2"/>
  <c r="E89" i="2"/>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17" i="2"/>
  <c r="K66" i="2"/>
  <c r="E66" i="2"/>
  <c r="F90" i="6"/>
  <c r="K65" i="2"/>
  <c r="E65" i="2"/>
  <c r="F89" i="6"/>
  <c r="K64" i="2"/>
  <c r="E64" i="2"/>
  <c r="F88" i="6"/>
  <c r="K63" i="2"/>
  <c r="E63" i="2"/>
  <c r="F87" i="6"/>
  <c r="K62" i="2"/>
  <c r="E62" i="2"/>
  <c r="F86" i="6"/>
  <c r="K61" i="2"/>
  <c r="E61" i="2"/>
  <c r="F85" i="6"/>
  <c r="K60" i="2"/>
  <c r="E60" i="2"/>
  <c r="F84" i="6"/>
  <c r="K59" i="2"/>
  <c r="E59" i="2"/>
  <c r="F141" i="6"/>
  <c r="F83" i="6"/>
  <c r="K58" i="2"/>
  <c r="E58" i="2"/>
  <c r="F82" i="6"/>
  <c r="K57" i="2"/>
  <c r="E57" i="2"/>
  <c r="F81" i="6"/>
  <c r="K56" i="2"/>
  <c r="E56" i="2"/>
  <c r="F80" i="6"/>
  <c r="K55" i="2"/>
  <c r="E55" i="2"/>
  <c r="F79" i="6"/>
  <c r="K54" i="2"/>
  <c r="E54" i="2"/>
  <c r="F78" i="6"/>
  <c r="F45" i="1"/>
  <c r="F46"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17" i="2"/>
  <c r="Q117"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37" i="3"/>
  <c r="K3" i="2"/>
  <c r="E3" i="2"/>
  <c r="A137" i="7"/>
  <c r="A114" i="8"/>
  <c r="A140" i="6"/>
  <c r="A137" i="5"/>
  <c r="A137" i="4"/>
  <c r="G116" i="2"/>
  <c r="A116" i="2"/>
  <c r="B23" i="11"/>
  <c r="B18" i="11"/>
  <c r="B17" i="11"/>
  <c r="B16" i="11"/>
  <c r="B12" i="11"/>
  <c r="B11" i="11"/>
  <c r="B10" i="11"/>
  <c r="B13" i="11"/>
  <c r="B7" i="11"/>
  <c r="B6" i="11"/>
  <c r="B5" i="11"/>
  <c r="H42" i="1"/>
  <c r="I18" i="1"/>
  <c r="B50" i="11"/>
  <c r="I16" i="1"/>
  <c r="B48" i="11"/>
  <c r="I17" i="1"/>
  <c r="B49" i="11"/>
  <c r="H18" i="1"/>
  <c r="B46" i="11"/>
  <c r="H17" i="1"/>
  <c r="B45" i="11"/>
  <c r="H16" i="1"/>
  <c r="B44" i="11"/>
  <c r="B8" i="1"/>
  <c r="I34" i="1"/>
  <c r="B7" i="1"/>
  <c r="B40" i="11"/>
  <c r="B6" i="1"/>
  <c r="G15" i="10"/>
  <c r="G34" i="10" s="1"/>
  <c r="G14" i="10"/>
  <c r="H14" i="10" s="1"/>
  <c r="B19" i="10"/>
  <c r="B18" i="10"/>
  <c r="I42" i="1"/>
  <c r="B24" i="11"/>
  <c r="F149" i="6"/>
  <c r="O123" i="2"/>
  <c r="O121" i="2"/>
  <c r="M121" i="2"/>
  <c r="E91" i="2"/>
  <c r="C152" i="6"/>
  <c r="F152" i="6"/>
  <c r="C153" i="6"/>
  <c r="B19" i="11"/>
  <c r="B59" i="11"/>
  <c r="F47" i="1"/>
  <c r="C34" i="1"/>
  <c r="B129" i="2"/>
  <c r="C129" i="2"/>
  <c r="D129" i="2"/>
  <c r="E129" i="2"/>
  <c r="B124" i="2"/>
  <c r="E124" i="2"/>
  <c r="I19" i="1"/>
  <c r="C128" i="2"/>
  <c r="F146" i="6"/>
  <c r="B148" i="6"/>
  <c r="F148" i="6"/>
  <c r="B145" i="7"/>
  <c r="B149" i="7"/>
  <c r="B150" i="7"/>
  <c r="B125" i="8"/>
  <c r="B122" i="8"/>
  <c r="B153" i="6"/>
  <c r="B147" i="5"/>
  <c r="B148" i="5"/>
  <c r="B42" i="11"/>
  <c r="D34" i="1"/>
  <c r="H34" i="1"/>
  <c r="B145" i="3"/>
  <c r="B149" i="3"/>
  <c r="B150" i="3"/>
  <c r="B67" i="1"/>
  <c r="B76" i="1"/>
  <c r="B80" i="1" s="1"/>
  <c r="H128" i="2"/>
  <c r="H129" i="2"/>
  <c r="M122" i="2"/>
  <c r="O122" i="2"/>
  <c r="I128" i="2"/>
  <c r="I129" i="2"/>
  <c r="J128" i="2"/>
  <c r="J129" i="2"/>
  <c r="O127" i="2"/>
  <c r="M123" i="2"/>
  <c r="H19" i="1"/>
  <c r="M126" i="2"/>
  <c r="B128" i="2"/>
  <c r="D128" i="2"/>
  <c r="G36" i="10"/>
  <c r="G39" i="10"/>
  <c r="G28" i="10"/>
  <c r="G37" i="10"/>
  <c r="G38" i="10"/>
  <c r="G35" i="10"/>
  <c r="F153" i="6"/>
  <c r="K128" i="2"/>
  <c r="E128" i="2"/>
  <c r="K129" i="2"/>
  <c r="B12" i="1"/>
  <c r="C12" i="1"/>
  <c r="D12" i="1"/>
  <c r="B38" i="11"/>
  <c r="F150" i="6"/>
  <c r="D13" i="1"/>
  <c r="C56" i="1"/>
  <c r="C18" i="1"/>
  <c r="C17" i="1"/>
  <c r="C42" i="1"/>
  <c r="B11" i="1"/>
  <c r="C11" i="1"/>
  <c r="C24" i="1"/>
  <c r="D42" i="1"/>
  <c r="B42" i="1"/>
  <c r="D16" i="1"/>
  <c r="D11" i="1"/>
  <c r="D18" i="1"/>
  <c r="D24" i="1"/>
  <c r="D17" i="1"/>
  <c r="D23" i="1"/>
  <c r="B23" i="1" s="1"/>
  <c r="D56" i="1"/>
  <c r="B56" i="1"/>
  <c r="C23" i="1"/>
  <c r="C22" i="1"/>
  <c r="C19" i="1"/>
  <c r="B55" i="11"/>
  <c r="B45" i="1"/>
  <c r="B50" i="1"/>
  <c r="B52" i="11"/>
  <c r="D19" i="1"/>
  <c r="D22" i="1"/>
  <c r="B18" i="1"/>
  <c r="B16" i="1"/>
  <c r="B17" i="1"/>
  <c r="B46" i="1"/>
  <c r="B51" i="1"/>
  <c r="B52" i="1"/>
  <c r="B19" i="1"/>
  <c r="D28" i="1"/>
  <c r="B53" i="11"/>
  <c r="H15" i="10" l="1"/>
  <c r="I15" i="10" s="1"/>
  <c r="G13" i="10"/>
  <c r="H13" i="10"/>
  <c r="I14" i="10"/>
  <c r="I13" i="10" s="1"/>
  <c r="F89" i="1"/>
  <c r="F83" i="1"/>
  <c r="P91" i="1"/>
  <c r="H89" i="1" s="1"/>
  <c r="G89" i="1"/>
  <c r="G91" i="1" s="1"/>
  <c r="B24" i="1"/>
  <c r="B85" i="1"/>
  <c r="B82" i="1"/>
  <c r="B83" i="1" s="1"/>
  <c r="B88" i="1"/>
  <c r="C25" i="1"/>
  <c r="C30" i="1" s="1"/>
  <c r="D25" i="1"/>
  <c r="C33" i="1"/>
  <c r="C35" i="1" s="1"/>
  <c r="H33" i="1"/>
  <c r="H35" i="1" s="1"/>
  <c r="B22" i="1"/>
  <c r="H83" i="1" l="1"/>
  <c r="H91" i="1" s="1"/>
  <c r="F91" i="1"/>
  <c r="B25" i="1"/>
  <c r="B89" i="1"/>
  <c r="K89" i="1" s="1"/>
  <c r="K83" i="1"/>
  <c r="L83" i="1"/>
  <c r="J83" i="1"/>
  <c r="H19" i="10"/>
  <c r="C10" i="10"/>
  <c r="C9" i="10"/>
  <c r="B35" i="11" s="1"/>
  <c r="H18" i="10"/>
  <c r="K91" i="1" l="1"/>
  <c r="F59" i="1" s="1"/>
  <c r="B56" i="11" s="1"/>
  <c r="J89" i="1"/>
  <c r="J91" i="1" s="1"/>
  <c r="H59" i="1" s="1"/>
  <c r="L89" i="1"/>
  <c r="L91" i="1" s="1"/>
  <c r="G59" i="1" s="1"/>
  <c r="B30" i="11"/>
  <c r="H20" i="10"/>
  <c r="B59" i="1" l="1"/>
  <c r="D29" i="1"/>
  <c r="D30" i="1" s="1"/>
  <c r="B57" i="11"/>
  <c r="D33" i="1" l="1"/>
  <c r="D35" i="1" s="1"/>
  <c r="B30" i="1"/>
  <c r="B61" i="11" s="1"/>
  <c r="I33" i="1"/>
  <c r="I35" i="1" s="1"/>
  <c r="I19" i="10" l="1"/>
  <c r="G19" i="10" s="1"/>
  <c r="D10" i="10"/>
  <c r="B10" i="10"/>
  <c r="G10" i="10"/>
  <c r="B9" i="10"/>
  <c r="B34" i="11" s="1"/>
  <c r="G9" i="10"/>
  <c r="I18" i="10"/>
  <c r="D9" i="10"/>
  <c r="B36" i="11" s="1"/>
  <c r="I20" i="10" l="1"/>
  <c r="G18" i="10"/>
  <c r="G20" i="10" s="1"/>
  <c r="G27" i="10" l="1"/>
  <c r="G40" i="10" s="1"/>
  <c r="B20" i="10"/>
  <c r="G42" i="10" l="1"/>
  <c r="G4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<sst xmlns="http://schemas.openxmlformats.org/spreadsheetml/2006/main" count="348" uniqueCount="214">
  <si>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</si>
  <si>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</si>
  <si>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</si>
  <si>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</si>
  <si>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</si>
  <si>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</si>
  <si>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</si>
  <si>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</si>
  <si>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</si>
  <si>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</si>
  <si>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</si>
  <si>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</si>
  <si>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</si>
  <si>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</si>
  <si>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</si>
  <si>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</si>
  <si>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</si>
  <si>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</si>
  <si>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</si>
  <si>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</si>
  <si>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</si>
  <si>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</si>
  <si>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</si>
  <si>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</si>
  <si>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</si>
  <si>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</si>
  <si>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</si>
  <si>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</si>
  <si>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</si>
  <si>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</si>
  <si>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</si>
  <si>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</si>
  <si>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</si>
  <si>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</si>
  <si>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</si>
  <si>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</si>
  <si>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</si>
  <si>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</si>
  <si>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</si>
  <si>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</si>
  <si>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</si>
  <si>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</si>
  <si>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</si>
  <si>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</si>
  <si>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</si>
  <si>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</si>
  <si>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</si>
  <si>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</si>
  <si>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</si>
  <si>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</si>
  <si>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</si>
  <si>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</si>
  <si>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</si>
  <si>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</si>
  <si>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</si>
  <si>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</si>
  <si>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</si>
  <si>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</si>
  <si>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</si>
  <si>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</si>
  <si>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</si>
  <si>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</si>
  <si>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</si>
  <si>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</si>
  <si>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</si>
  <si>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</si>
  <si>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</si>
  <si>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</si>
  <si>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</si>
  <si>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</si>
  <si>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</si>
  <si>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</si>
  <si>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</si>
  <si>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</si>
  <si>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</si>
  <si>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</si>
  <si>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</si>
  <si>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</si>
  <si>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</si>
  <si>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</si>
  <si>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</si>
  <si>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</si>
  <si>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t>
    </r>
  </si>
  <si>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</si>
  <si>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</si>
  <si>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</si>
  <si>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</si>
  <si>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</si>
  <si>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</si>
  <si>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</si>
  <si>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</si>
  <si>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</si>
  <si>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</si>
  <si>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</si>
  <si>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</si>
  <si>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</si>
  <si>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</si>
  <si>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</si>
  <si>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</si>
  <si>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</si>
  <si>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</si>
  <si>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</si>
  <si>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</si>
  <si>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</si>
  <si>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</si>
  <si>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</si>
  <si>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</si>
  <si>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</si>
  <si>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</si>
  <si>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</si>
  <si>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</si>
  <si>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</si>
  <si>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</si>
  <si>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</si>
  <si>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</si>
  <si>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</si>
  <si>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</si>
  <si>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</si>
  <si>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</si>
  <si>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</si>
  <si>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</si>
  <si>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</si>
  <si>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</si>
  <si>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</si>
  <si>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</si>
  <si>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</si>
  <si>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</si>
  <si>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</si>
  <si>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</si>
  <si>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</si>
  <si>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</si>
  <si>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</si>
  <si>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</si>
  <si>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</si>
  <si>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</si>
  <si>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</si>
  <si>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</si>
  <si>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</si>
  <si>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</si>
  <si>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</si>
  <si>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</si>
  <si>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</si>
  <si>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</si>
  <si>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</si>
  <si>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Note:  October 2015 - July 2017 are recalculated figures that reflect percentages that would have existed if rules in effect on Aug. 1, 2017  were in effect in the past</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</si>
  <si>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</si>
  <si>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</si>
  <si>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</si>
  <si>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</si>
  <si>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</si>
  <si>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</si>
  <si>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</si>
  <si>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</si>
  <si>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</si>
  <si>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</si>
  <si>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</si>
  <si>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</si>
  <si>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</si>
  <si>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</si>
  <si>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</si>
  <si>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</si>
  <si>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</si>
  <si>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</si>
  <si>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</si>
  <si>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</si>
  <si>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</si>
  <si>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</si>
  <si>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</si>
  <si>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</si>
  <si>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</si>
  <si>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</si>
  <si>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</si>
  <si>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</si>
  <si>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</si>
  <si>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</si>
  <si>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</si>
  <si>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</si>
  <si>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</si>
  <si>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</si>
  <si>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</si>
  <si>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</si>
  <si>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</si>
  <si>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</si>
  <si>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</si>
  <si>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</si>
  <si>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</si>
  <si>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</si>
  <si>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</si>
  <si>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</si>
  <si>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</si>
  <si>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</si>
  <si>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</si>
  <si>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</si>
  <si>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</si>
  <si>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</si>
  <si>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</si>
  <si>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</si>
  <si>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</si>
  <si>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</si>
  <si>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</si>
  <si>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</si>
  <si>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</si>
  <si>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September 2023 - July 2023 Delta</t>
  </si>
  <si>
    <t>Est September 2024</t>
  </si>
  <si>
    <t>September 2023</t>
  </si>
  <si>
    <t>September 2022</t>
  </si>
  <si>
    <t>September 2021</t>
  </si>
  <si>
    <t>Ave:  September 24 Est, 23, 22, 21</t>
  </si>
  <si>
    <t>Ave:  September 24 Est, 23, 22</t>
  </si>
  <si>
    <t>July 2024</t>
  </si>
  <si>
    <t>Note:  October 2015 - September 2017 are recalculated figures that reflect percentages that would have existed if rules in effect on Aug. 1, 2017  were in effect in the past</t>
  </si>
  <si>
    <t>Note:  Novober 2015 - September 2017 are recalculated figures that reflect percentages that would have existed if rules in effect on Aug. 1, 2017  were in effect in the past</t>
  </si>
  <si>
    <t>Will use 0.0% for Est September 2024.  February 2024 was the only time there has been bulk surplus since September 2023. This Feb load was sent out-of state because of a refrigeration issue. 3/19/24 ms</t>
  </si>
  <si>
    <t>This is way lower than it is trending. Will use average of  April 2024-July 2024 -31.8824%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</si>
</sst>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election activeCell="A6" sqref="A6"/>
    </sheetView>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topLeftCell="A4" zoomScale="70" zoomScaleNormal="70" workbookViewId="0">
      <selection activeCell="I6" sqref="I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69" t="s">
        <v>59</v>
      </c>
      <c r="B1" s="269"/>
      <c r="C1" s="269"/>
      <c r="D1" s="269"/>
      <c r="E1" s="269"/>
      <c r="F1" s="269"/>
      <c r="G1" s="269"/>
      <c r="H1" s="269"/>
      <c r="I1" s="269"/>
    </row>
    <row r="2" spans="1:9" ht="23.25" x14ac:dyDescent="0.35">
      <c r="A2" s="268">
        <f>'Quota Price Estimator'!B4</f>
        <v>45536</v>
      </c>
      <c r="B2" s="268"/>
      <c r="C2" s="268"/>
      <c r="D2" s="268"/>
      <c r="E2" s="268"/>
      <c r="F2" s="268"/>
      <c r="G2" s="268"/>
      <c r="H2" s="268"/>
      <c r="I2" s="268"/>
    </row>
    <row r="3" spans="1:9" ht="19.5" thickBot="1" x14ac:dyDescent="0.35">
      <c r="A3" s="26"/>
      <c r="B3" s="6"/>
      <c r="C3" s="6"/>
      <c r="D3" s="6"/>
      <c r="E3" s="6"/>
      <c r="F3" s="6"/>
      <c r="G3" s="6"/>
      <c r="H3" s="6"/>
      <c r="I3" s="6"/>
    </row>
    <row r="4" spans="1:9" ht="215.1" customHeight="1" thickBot="1" x14ac:dyDescent="0.35">
      <c r="A4" s="263" t="s">
        <v>83</v>
      </c>
      <c r="B4" s="264"/>
      <c r="C4" s="264"/>
      <c r="D4" s="264"/>
      <c r="E4" s="264"/>
      <c r="F4" s="264"/>
      <c r="G4" s="264"/>
      <c r="H4" s="264"/>
      <c r="I4" s="265"/>
    </row>
    <row r="5" spans="1:9" ht="19.5" customHeight="1" thickBot="1" x14ac:dyDescent="0.35">
      <c r="A5" s="26"/>
      <c r="B5" s="6"/>
      <c r="C5" s="6"/>
      <c r="D5" s="6"/>
      <c r="E5" s="6"/>
      <c r="F5" s="6"/>
      <c r="G5" s="6"/>
      <c r="H5" s="6"/>
      <c r="I5" s="6"/>
    </row>
    <row r="6" spans="1:9" ht="72.75" customHeight="1" thickBot="1" x14ac:dyDescent="0.4">
      <c r="A6" s="266" t="s">
        <v>82</v>
      </c>
      <c r="B6" s="267"/>
      <c r="C6" s="267"/>
      <c r="D6" s="267"/>
      <c r="E6" s="267"/>
      <c r="F6" s="267"/>
      <c r="G6" s="267"/>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22.22243322444271</v>
      </c>
      <c r="C9" s="81">
        <f>QuotaButterfatPrice</f>
        <v>3.5496907300000005</v>
      </c>
      <c r="D9" s="82">
        <f>QuotaSkimPrice</f>
        <v>0.1015390224812716</v>
      </c>
      <c r="E9" s="82"/>
      <c r="F9" s="83"/>
      <c r="G9" s="84">
        <f>(QuotaButterfatPrice*PoolButterfatPercent*100)+(QuotaSkimPrice*(100-PoolButterfatPercent*100))</f>
        <v>23.880994195759222</v>
      </c>
      <c r="H9" s="1"/>
      <c r="I9" s="1"/>
    </row>
    <row r="10" spans="1:9" ht="15.75" x14ac:dyDescent="0.25">
      <c r="A10" s="85" t="s">
        <v>5</v>
      </c>
      <c r="B10" s="222">
        <f>ExcessButterfatPrice*3.5+ExcessSkimPrice*96.5</f>
        <v>20.72243322444271</v>
      </c>
      <c r="C10" s="86">
        <f>ExcessButterfatPrice</f>
        <v>3.5346907300000003</v>
      </c>
      <c r="D10" s="87">
        <f>ExcessSkimPrice</f>
        <v>8.6539022481271599E-2</v>
      </c>
      <c r="E10" s="87"/>
      <c r="F10" s="88"/>
      <c r="G10" s="89">
        <f>(ExcessButterfatPrice*PoolButterfatPercent*100)+(ExcessSkimPrice*(100-PoolButterfatPercent*100))</f>
        <v>22.380994195759222</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87</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100</v>
      </c>
      <c r="B25" s="114"/>
      <c r="F25" s="102" t="s">
        <v>112</v>
      </c>
      <c r="G25" s="103"/>
    </row>
    <row r="26" spans="1:9" ht="15.75" x14ac:dyDescent="0.25">
      <c r="A26" t="s">
        <v>113</v>
      </c>
      <c r="B26" s="115"/>
      <c r="F26" s="104"/>
      <c r="G26" s="105"/>
    </row>
    <row r="27" spans="1:9" ht="15.75" x14ac:dyDescent="0.25">
      <c r="F27" s="104" t="s">
        <v>99</v>
      </c>
      <c r="G27" s="106">
        <f>G20</f>
        <v>0</v>
      </c>
    </row>
    <row r="28" spans="1:9" ht="16.5" customHeight="1" x14ac:dyDescent="0.25">
      <c r="A28" t="s">
        <v>88</v>
      </c>
      <c r="B28" s="114"/>
      <c r="F28" s="104" t="s">
        <v>101</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89</v>
      </c>
      <c r="B34" s="115"/>
      <c r="F34" s="104" t="s">
        <v>102</v>
      </c>
      <c r="G34" s="106">
        <f>-ROUND(($G$15/100)*B28+B34+B35,2)</f>
        <v>0</v>
      </c>
    </row>
    <row r="35" spans="1:7" ht="15.75" x14ac:dyDescent="0.25">
      <c r="A35" t="s">
        <v>90</v>
      </c>
      <c r="B35" s="115"/>
      <c r="F35" s="104" t="s">
        <v>103</v>
      </c>
      <c r="G35" s="106">
        <f>-ROUND(($G$15/100)*B37,2)</f>
        <v>0</v>
      </c>
    </row>
    <row r="36" spans="1:7" ht="15.75" x14ac:dyDescent="0.25">
      <c r="F36" s="104" t="s">
        <v>104</v>
      </c>
      <c r="G36" s="106">
        <f>-ROUND(IF(($G$15/100)*B39&gt;B41,B41,IF(($G$15/100)*B39&lt;B40,B40,($G$15/100)*B39)),2)</f>
        <v>-50</v>
      </c>
    </row>
    <row r="37" spans="1:7" ht="15.75" x14ac:dyDescent="0.25">
      <c r="A37" t="s">
        <v>91</v>
      </c>
      <c r="B37" s="255">
        <v>2.1499999999999998E-2</v>
      </c>
      <c r="F37" s="104" t="s">
        <v>94</v>
      </c>
      <c r="G37" s="106">
        <f>-ROUND(($G$15/100)*B43,2)</f>
        <v>0</v>
      </c>
    </row>
    <row r="38" spans="1:7" ht="15.75" x14ac:dyDescent="0.25">
      <c r="B38" s="243"/>
      <c r="F38" s="104" t="s">
        <v>105</v>
      </c>
      <c r="G38" s="106">
        <f>-ROUND(($G$15/100)*B45+B46,2)</f>
        <v>0</v>
      </c>
    </row>
    <row r="39" spans="1:7" ht="15.75" x14ac:dyDescent="0.25">
      <c r="A39" s="40" t="s">
        <v>93</v>
      </c>
      <c r="B39" s="242">
        <v>0.14000000000000001</v>
      </c>
      <c r="F39" s="107" t="s">
        <v>106</v>
      </c>
      <c r="G39" s="108">
        <f>-ROUND(($G$15/100)*B48+B49,2)</f>
        <v>0</v>
      </c>
    </row>
    <row r="40" spans="1:7" ht="15.75" x14ac:dyDescent="0.25">
      <c r="A40" t="s">
        <v>92</v>
      </c>
      <c r="B40" s="244">
        <v>50</v>
      </c>
      <c r="F40" s="102" t="s">
        <v>107</v>
      </c>
      <c r="G40" s="109">
        <f>SUM(G27:G39)</f>
        <v>-50</v>
      </c>
    </row>
    <row r="41" spans="1:7" ht="15.75" x14ac:dyDescent="0.25">
      <c r="A41" t="s">
        <v>92</v>
      </c>
      <c r="B41" s="244">
        <v>1050</v>
      </c>
      <c r="F41" s="107" t="s">
        <v>108</v>
      </c>
      <c r="G41" s="108">
        <f>-B51</f>
        <v>0</v>
      </c>
    </row>
    <row r="42" spans="1:7" ht="15.75" x14ac:dyDescent="0.25">
      <c r="B42" s="243"/>
      <c r="F42" s="104" t="s">
        <v>109</v>
      </c>
      <c r="G42" s="106">
        <f>SUM(G40:G41)</f>
        <v>-50</v>
      </c>
    </row>
    <row r="43" spans="1:7" x14ac:dyDescent="0.25">
      <c r="A43" t="s">
        <v>95</v>
      </c>
      <c r="B43" s="242">
        <v>0.15</v>
      </c>
      <c r="F43" s="110"/>
      <c r="G43" s="111"/>
    </row>
    <row r="44" spans="1:7" x14ac:dyDescent="0.25">
      <c r="F44" s="110"/>
      <c r="G44" s="111"/>
    </row>
    <row r="45" spans="1:7" x14ac:dyDescent="0.25">
      <c r="A45" t="s">
        <v>96</v>
      </c>
      <c r="B45" s="114"/>
      <c r="F45" s="112" t="s">
        <v>111</v>
      </c>
      <c r="G45" s="113" t="str">
        <f>IF(G15=0,"",ROUND(G40/(G15/100),4))</f>
        <v/>
      </c>
    </row>
    <row r="46" spans="1:7" x14ac:dyDescent="0.25">
      <c r="A46" t="s">
        <v>97</v>
      </c>
      <c r="B46" s="115"/>
    </row>
    <row r="48" spans="1:7" x14ac:dyDescent="0.25">
      <c r="A48" t="s">
        <v>114</v>
      </c>
      <c r="B48" s="114"/>
    </row>
    <row r="49" spans="1:2" x14ac:dyDescent="0.25">
      <c r="A49" t="s">
        <v>98</v>
      </c>
      <c r="B49" s="115"/>
    </row>
    <row r="51" spans="1:2" x14ac:dyDescent="0.25">
      <c r="A51" t="s">
        <v>110</v>
      </c>
      <c r="B51" s="115"/>
    </row>
  </sheetData>
  <sheetProtection algorithmName="SHA-512" hashValue="ZRjIvL7kcNDks4SYmwQIHFjH+/ZMVhRGh4Sdm/Lu4K5M8hkHh72pMdyAbTudyenIKd5Q5crcUqm3n+f91pPBYA==" saltValue="Q/685PXUu1vFweLruhAYg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2"/>
  <sheetViews>
    <sheetView topLeftCell="A2" workbookViewId="0">
      <selection activeCell="A67" sqref="A67:XFD92"/>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193</v>
      </c>
      <c r="B1" s="7"/>
      <c r="C1" s="7"/>
      <c r="D1" s="7"/>
      <c r="E1" s="7"/>
      <c r="F1" s="7"/>
      <c r="G1" s="7"/>
      <c r="H1" s="7"/>
      <c r="I1" s="7"/>
    </row>
    <row r="2" spans="1:13" ht="18.75" x14ac:dyDescent="0.3">
      <c r="A2" s="259">
        <f>Pooling_Month</f>
        <v>45536</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45536</v>
      </c>
      <c r="C4" s="123"/>
      <c r="D4" s="123"/>
      <c r="E4" s="123"/>
      <c r="F4" s="123"/>
      <c r="G4" s="123"/>
      <c r="H4" s="123"/>
      <c r="I4" s="124"/>
    </row>
    <row r="5" spans="1:13" ht="15.75" x14ac:dyDescent="0.25">
      <c r="A5" s="125" t="s">
        <v>1</v>
      </c>
      <c r="B5" s="126">
        <f>DAY(DATE(YEAR(Pooling_Month),MONTH(Pooling_Month)+1,0))</f>
        <v>30</v>
      </c>
      <c r="C5" s="126"/>
      <c r="D5" s="126"/>
      <c r="E5" s="126"/>
      <c r="F5" s="126"/>
      <c r="G5" s="126"/>
      <c r="H5" s="126"/>
      <c r="I5" s="127"/>
    </row>
    <row r="6" spans="1:13" ht="15.75" x14ac:dyDescent="0.25">
      <c r="A6" s="128" t="s">
        <v>50</v>
      </c>
      <c r="B6" s="129">
        <f>PoolDailyProd</f>
        <v>498060</v>
      </c>
      <c r="C6" s="126"/>
      <c r="D6" s="126"/>
      <c r="E6" s="126"/>
      <c r="F6" s="126"/>
      <c r="G6" s="126"/>
      <c r="H6" s="126"/>
      <c r="I6" s="127"/>
    </row>
    <row r="7" spans="1:13" ht="15.75" x14ac:dyDescent="0.25">
      <c r="A7" s="128" t="s">
        <v>15</v>
      </c>
      <c r="B7" s="130">
        <f>PoolButterfatPercent</f>
        <v>3.9810000000000005E-2</v>
      </c>
      <c r="C7" s="126"/>
      <c r="D7" s="126"/>
      <c r="E7" s="126"/>
      <c r="F7" s="126"/>
      <c r="G7" s="126"/>
      <c r="H7" s="126"/>
      <c r="I7" s="127"/>
    </row>
    <row r="8" spans="1:13" ht="15.75" x14ac:dyDescent="0.25">
      <c r="A8" s="128" t="s">
        <v>51</v>
      </c>
      <c r="B8" s="130">
        <f>PoolOverQuotaProdPerc</f>
        <v>6.4919999999999995E-3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14844797.8344</v>
      </c>
      <c r="C11" s="135">
        <f>C13-C12</f>
        <v>590971.40178746404</v>
      </c>
      <c r="D11" s="135">
        <f>D13-D12</f>
        <v>14253826.432612536</v>
      </c>
      <c r="E11" s="135"/>
      <c r="F11" s="126"/>
      <c r="G11" s="126"/>
      <c r="H11" s="126"/>
      <c r="I11" s="127"/>
    </row>
    <row r="12" spans="1:13" ht="15.75" x14ac:dyDescent="0.25">
      <c r="A12" s="136" t="s">
        <v>18</v>
      </c>
      <c r="B12" s="137">
        <f>B13*PoolOverQuotaProdPerc</f>
        <v>97002.165599999993</v>
      </c>
      <c r="C12" s="137">
        <f>B12*PoolButterfatPercent</f>
        <v>3861.6562125360001</v>
      </c>
      <c r="D12" s="137">
        <f>B12-C12</f>
        <v>93140.509387463986</v>
      </c>
      <c r="E12" s="135"/>
      <c r="F12" s="126"/>
      <c r="G12" s="126"/>
      <c r="H12" s="126"/>
      <c r="I12" s="127"/>
    </row>
    <row r="13" spans="1:13" ht="15.75" x14ac:dyDescent="0.25">
      <c r="A13" s="134" t="s">
        <v>19</v>
      </c>
      <c r="B13" s="135">
        <f>PoolDailyProd*DaysPerMonth</f>
        <v>14941800</v>
      </c>
      <c r="C13" s="135">
        <f>B13*PoolButterfatPercent</f>
        <v>594833.05800000008</v>
      </c>
      <c r="D13" s="135">
        <f>B13-C13</f>
        <v>14346966.942</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13524689.05731</v>
      </c>
      <c r="C16" s="135">
        <f>Butterfat_Production*EstClsIBFUtPerc</f>
        <v>364216.28141340002</v>
      </c>
      <c r="D16" s="135">
        <f>Skim_Production*EstClsISkimUtPerc</f>
        <v>13160472.7758966</v>
      </c>
      <c r="E16" s="140"/>
      <c r="F16" s="126"/>
      <c r="G16" s="141" t="s">
        <v>21</v>
      </c>
      <c r="H16" s="142">
        <f>EstClsIBFUtPerc</f>
        <v>0.61229999999999996</v>
      </c>
      <c r="I16" s="143">
        <f>EstClsISkimUtPerc</f>
        <v>0.9173</v>
      </c>
      <c r="M16" s="5"/>
    </row>
    <row r="17" spans="1:14" ht="15.75" x14ac:dyDescent="0.25">
      <c r="A17" s="134" t="s">
        <v>22</v>
      </c>
      <c r="B17" s="135">
        <f>SUM(C17:D17)</f>
        <v>-22343.07121200001</v>
      </c>
      <c r="C17" s="135">
        <f>Butterfat_Production*EstClsIIBFUtPerc</f>
        <v>105344.93457180001</v>
      </c>
      <c r="D17" s="135">
        <f>Skim_Production*EstClsIISkimUTPerc</f>
        <v>-127688.00578380002</v>
      </c>
      <c r="E17" s="140"/>
      <c r="F17" s="126"/>
      <c r="G17" s="141" t="s">
        <v>22</v>
      </c>
      <c r="H17" s="142">
        <f>EstClsIIBFUtPerc</f>
        <v>0.17710000000000001</v>
      </c>
      <c r="I17" s="143">
        <f>EstClsIISkimUTPerc</f>
        <v>-8.9000000000000017E-3</v>
      </c>
      <c r="M17" s="5"/>
    </row>
    <row r="18" spans="1:14" ht="15.75" x14ac:dyDescent="0.25">
      <c r="A18" s="136" t="s">
        <v>23</v>
      </c>
      <c r="B18" s="137">
        <f>SUM(C18:D18)</f>
        <v>1439454.0139019999</v>
      </c>
      <c r="C18" s="137">
        <f>Butterfat_Production*EstClsIIIBFUtPerc</f>
        <v>125271.84201480004</v>
      </c>
      <c r="D18" s="137">
        <f>Skim_Production*EstClsIIISkimUtPerc</f>
        <v>1314182.1718871999</v>
      </c>
      <c r="E18" s="140"/>
      <c r="F18" s="126"/>
      <c r="G18" s="144" t="s">
        <v>23</v>
      </c>
      <c r="H18" s="145">
        <f>EstClsIIIBFUtPerc</f>
        <v>0.21060000000000004</v>
      </c>
      <c r="I18" s="146">
        <f>EstClsIIISkimUtPerc</f>
        <v>9.1599999999999987E-2</v>
      </c>
      <c r="M18" s="5"/>
    </row>
    <row r="19" spans="1:14" ht="15.75" x14ac:dyDescent="0.25">
      <c r="A19" s="131"/>
      <c r="B19" s="147">
        <f>SUM(B16:B18)</f>
        <v>14941800</v>
      </c>
      <c r="C19" s="147">
        <f>SUM(C16:C18)</f>
        <v>594833.05800000008</v>
      </c>
      <c r="D19" s="147">
        <f>SUM(D16:D18)</f>
        <v>14346966.942</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2888685.3611446917</v>
      </c>
      <c r="C22" s="159">
        <f>C16*MTClassIButterfatPrice</f>
        <v>1303639.3360629827</v>
      </c>
      <c r="D22" s="159">
        <f>D16*MTClassISkimPrice</f>
        <v>1585046.0250817088</v>
      </c>
      <c r="E22" s="159"/>
      <c r="F22" s="160" t="s">
        <v>21</v>
      </c>
      <c r="G22" s="219">
        <v>24.15</v>
      </c>
      <c r="H22" s="162">
        <v>3.5792999999999999</v>
      </c>
      <c r="I22" s="220">
        <v>0.1204399</v>
      </c>
    </row>
    <row r="23" spans="1:14" ht="15.75" x14ac:dyDescent="0.25">
      <c r="A23" s="158" t="s">
        <v>22</v>
      </c>
      <c r="B23" s="159">
        <f>SUM(C23:D23)</f>
        <v>362228.5232396801</v>
      </c>
      <c r="C23" s="159">
        <f>C17*MTClassIIButterfatPrice</f>
        <v>375112.2430232655</v>
      </c>
      <c r="D23" s="159">
        <f>D17*MTClassIISkimPrice</f>
        <v>-12883.719783585422</v>
      </c>
      <c r="E23" s="159"/>
      <c r="F23" s="160" t="s">
        <v>22</v>
      </c>
      <c r="G23" s="219">
        <v>22.199649999999998</v>
      </c>
      <c r="H23" s="162">
        <v>3.5608</v>
      </c>
      <c r="I23" s="220">
        <v>0.1009</v>
      </c>
    </row>
    <row r="24" spans="1:14" ht="15.75" x14ac:dyDescent="0.25">
      <c r="A24" s="164" t="s">
        <v>23</v>
      </c>
      <c r="B24" s="165">
        <f>SUM(C24:D24)</f>
        <v>539112.64387357957</v>
      </c>
      <c r="C24" s="165">
        <f>C18*MTClassIIIButterfatPrice</f>
        <v>432663.88795071642</v>
      </c>
      <c r="D24" s="165">
        <f>D18*MTClassIIISkimPrice</f>
        <v>106448.75592286319</v>
      </c>
      <c r="E24" s="159"/>
      <c r="F24" s="160" t="s">
        <v>23</v>
      </c>
      <c r="G24" s="219">
        <v>19.904800000000002</v>
      </c>
      <c r="H24" s="162">
        <v>3.4538000000000002</v>
      </c>
      <c r="I24" s="220">
        <v>8.1000000000000003E-2</v>
      </c>
    </row>
    <row r="25" spans="1:14" ht="15.75" x14ac:dyDescent="0.25">
      <c r="A25" s="158" t="s">
        <v>120</v>
      </c>
      <c r="B25" s="159">
        <f>SUM(B22:B24)</f>
        <v>3790026.5282579511</v>
      </c>
      <c r="C25" s="159">
        <f>SUM(C22:C24)</f>
        <v>2111415.4670369648</v>
      </c>
      <c r="D25" s="159">
        <f>SUM(D22:D24)</f>
        <v>1678611.0612209865</v>
      </c>
      <c r="E25" s="159"/>
      <c r="F25" s="126"/>
      <c r="G25" s="151"/>
      <c r="H25" s="151"/>
      <c r="I25" s="152"/>
    </row>
    <row r="26" spans="1:14" ht="15.75" x14ac:dyDescent="0.25">
      <c r="A26" s="158"/>
      <c r="B26" s="159"/>
      <c r="C26" s="159"/>
      <c r="D26" s="159"/>
      <c r="E26" s="159"/>
      <c r="F26" s="126"/>
      <c r="G26" s="154" t="s">
        <v>115</v>
      </c>
      <c r="H26" s="154" t="s">
        <v>116</v>
      </c>
      <c r="I26" s="152"/>
    </row>
    <row r="27" spans="1:14" ht="15.75" x14ac:dyDescent="0.25">
      <c r="A27" s="166" t="s">
        <v>125</v>
      </c>
      <c r="B27" s="159"/>
      <c r="C27" s="159"/>
      <c r="D27" s="161">
        <f>AVERAGE(G27:H27)</f>
        <v>-58470</v>
      </c>
      <c r="E27" s="159"/>
      <c r="F27" s="126"/>
      <c r="G27" s="167">
        <v>-50040</v>
      </c>
      <c r="H27" s="168">
        <v>-66900</v>
      </c>
      <c r="I27" s="152"/>
      <c r="K27"/>
    </row>
    <row r="28" spans="1:14" ht="15.75" x14ac:dyDescent="0.25">
      <c r="A28" s="158" t="s">
        <v>122</v>
      </c>
      <c r="B28" s="159"/>
      <c r="C28" s="159"/>
      <c r="D28" s="159">
        <f>SurplusAdjustmentPckgClassI</f>
        <v>-164761.16999999998</v>
      </c>
      <c r="E28" s="159"/>
      <c r="F28" s="126"/>
      <c r="G28" s="151"/>
      <c r="H28" s="151"/>
      <c r="I28" s="152"/>
      <c r="L28" s="232"/>
      <c r="M28" s="232"/>
      <c r="N28" s="232"/>
    </row>
    <row r="29" spans="1:14" ht="15.75" x14ac:dyDescent="0.25">
      <c r="A29" s="164" t="s">
        <v>133</v>
      </c>
      <c r="B29" s="169"/>
      <c r="C29" s="169"/>
      <c r="D29" s="165">
        <f>SurplusAdjustmentBulkSales</f>
        <v>0</v>
      </c>
      <c r="E29" s="159"/>
      <c r="F29" s="126"/>
      <c r="G29" s="151"/>
      <c r="H29" s="151"/>
      <c r="I29" s="152"/>
      <c r="L29" s="232"/>
      <c r="M29" s="232"/>
      <c r="N29" s="232"/>
    </row>
    <row r="30" spans="1:14" ht="15.75" x14ac:dyDescent="0.25">
      <c r="A30" s="166" t="s">
        <v>35</v>
      </c>
      <c r="B30" s="170">
        <f>C30+D30</f>
        <v>3566795.3582579512</v>
      </c>
      <c r="C30" s="170">
        <f>SUM(C25:C29)</f>
        <v>2111415.4670369648</v>
      </c>
      <c r="D30" s="170">
        <f>SUM(D25:D29)</f>
        <v>1455379.8912209866</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3.5495933500000003</v>
      </c>
      <c r="D33" s="175">
        <f>D30/Skim_Production</f>
        <v>0.1014416424812716</v>
      </c>
      <c r="E33" s="176"/>
      <c r="F33" s="160" t="s">
        <v>38</v>
      </c>
      <c r="G33" s="126"/>
      <c r="H33" s="175">
        <f>C30/Butterfat_Production</f>
        <v>3.5495933500000003</v>
      </c>
      <c r="I33" s="163">
        <f>D30/Skim_Production</f>
        <v>0.1014416424812716</v>
      </c>
    </row>
    <row r="34" spans="1:9" ht="15.75" x14ac:dyDescent="0.25">
      <c r="A34" s="164" t="s">
        <v>52</v>
      </c>
      <c r="B34" s="169"/>
      <c r="C34" s="177">
        <f>(1.5/100)*B8</f>
        <v>9.7379999999999993E-5</v>
      </c>
      <c r="D34" s="177">
        <f>(1.5/100)*B8</f>
        <v>9.7379999999999993E-5</v>
      </c>
      <c r="E34" s="178"/>
      <c r="F34" s="179" t="s">
        <v>53</v>
      </c>
      <c r="G34" s="169"/>
      <c r="H34" s="177">
        <f>-(1.5/100)*(1-B8)</f>
        <v>-1.4902619999999998E-2</v>
      </c>
      <c r="I34" s="180">
        <f>-(1.5/100)*(1-B8)</f>
        <v>-1.4902619999999998E-2</v>
      </c>
    </row>
    <row r="35" spans="1:9" ht="16.5" thickBot="1" x14ac:dyDescent="0.3">
      <c r="A35" s="181" t="s">
        <v>45</v>
      </c>
      <c r="B35" s="182"/>
      <c r="C35" s="183">
        <f>SUM(C33:C34)</f>
        <v>3.5496907300000005</v>
      </c>
      <c r="D35" s="183">
        <f>SUM(D33:D34)</f>
        <v>0.1015390224812716</v>
      </c>
      <c r="E35" s="184"/>
      <c r="F35" s="185" t="s">
        <v>46</v>
      </c>
      <c r="G35" s="182"/>
      <c r="H35" s="183">
        <f>SUM(H33:H34)</f>
        <v>3.5346907300000003</v>
      </c>
      <c r="I35" s="186">
        <f>SUM(I33:I34)</f>
        <v>8.6539022481271599E-2</v>
      </c>
    </row>
    <row r="36" spans="1:9" x14ac:dyDescent="0.25">
      <c r="G36" s="90"/>
      <c r="H36" s="90"/>
      <c r="I36" s="90"/>
    </row>
    <row r="37" spans="1:9" x14ac:dyDescent="0.25">
      <c r="A37" s="3"/>
      <c r="G37" s="90"/>
      <c r="H37" s="90"/>
      <c r="I37" s="90"/>
    </row>
    <row r="38" spans="1:9" ht="15.75" thickBot="1" x14ac:dyDescent="0.3"/>
    <row r="39" spans="1:9" ht="15.75" x14ac:dyDescent="0.25">
      <c r="A39" s="119" t="s">
        <v>124</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126</v>
      </c>
      <c r="B41" s="188" t="s">
        <v>10</v>
      </c>
      <c r="C41" s="188" t="s">
        <v>11</v>
      </c>
      <c r="D41" s="188" t="s">
        <v>12</v>
      </c>
      <c r="E41" s="133"/>
      <c r="F41" s="126"/>
      <c r="G41" s="126"/>
      <c r="H41" s="133" t="s">
        <v>26</v>
      </c>
      <c r="I41" s="139" t="s">
        <v>27</v>
      </c>
    </row>
    <row r="42" spans="1:9" ht="15.75" x14ac:dyDescent="0.25">
      <c r="A42" s="189"/>
      <c r="B42" s="190">
        <f>SUM(C42:D42)</f>
        <v>5699918.9118276369</v>
      </c>
      <c r="C42" s="190">
        <f>EstClsIPckgSurpPoolBFUtPerc*Butterfat_Production</f>
        <v>142635.61381087801</v>
      </c>
      <c r="D42" s="190">
        <f>EstClsIPckgSurpPoolSkimUtPerc*Skim_Production</f>
        <v>5557283.2980167586</v>
      </c>
      <c r="E42" s="126"/>
      <c r="G42" s="211" t="s">
        <v>130</v>
      </c>
      <c r="H42" s="142">
        <f>EstClsIPckgSurpPoolBFUtPerc</f>
        <v>0.23979099999999998</v>
      </c>
      <c r="I42" s="143">
        <f>EstClsIPckgSurpPoolSkimUtPerc</f>
        <v>0.38734900000000005</v>
      </c>
    </row>
    <row r="43" spans="1:9" ht="15.75" x14ac:dyDescent="0.25">
      <c r="A43" s="158"/>
      <c r="B43" s="192"/>
      <c r="C43" s="192"/>
      <c r="D43" s="192"/>
      <c r="E43" s="126"/>
      <c r="F43" s="160"/>
      <c r="G43" s="126"/>
      <c r="H43" s="149"/>
      <c r="I43" s="150"/>
    </row>
    <row r="44" spans="1:9" ht="31.5" x14ac:dyDescent="0.25">
      <c r="A44" s="193" t="s">
        <v>127</v>
      </c>
      <c r="B44" s="133" t="s">
        <v>10</v>
      </c>
      <c r="C44" s="192"/>
      <c r="D44" s="192"/>
      <c r="E44" s="126"/>
      <c r="F44" s="156" t="s">
        <v>121</v>
      </c>
      <c r="G44" s="126"/>
      <c r="H44" s="149"/>
      <c r="I44" s="150"/>
    </row>
    <row r="45" spans="1:9" ht="15.75" x14ac:dyDescent="0.25">
      <c r="A45" s="194" t="s">
        <v>117</v>
      </c>
      <c r="B45" s="192">
        <f>ROUND(F45*B42,0)</f>
        <v>1817271</v>
      </c>
      <c r="C45" s="192"/>
      <c r="D45" s="192"/>
      <c r="E45" s="126"/>
      <c r="F45" s="142">
        <f>PercClsIPckgSurptoContigStates</f>
        <v>0.318824</v>
      </c>
      <c r="G45" s="126"/>
      <c r="H45" s="149"/>
      <c r="I45" s="150"/>
    </row>
    <row r="46" spans="1:9" ht="15.75" x14ac:dyDescent="0.25">
      <c r="A46" s="194" t="s">
        <v>118</v>
      </c>
      <c r="B46" s="192">
        <f>B42-B45</f>
        <v>3882647.9118276369</v>
      </c>
      <c r="C46" s="192"/>
      <c r="D46" s="192"/>
      <c r="E46" s="126"/>
      <c r="F46" s="195">
        <f>1-F45</f>
        <v>0.681176</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128</v>
      </c>
      <c r="B49" s="192"/>
      <c r="C49" s="192"/>
      <c r="D49" s="192"/>
      <c r="E49" s="126"/>
      <c r="F49" s="212" t="s">
        <v>123</v>
      </c>
      <c r="G49" s="126"/>
      <c r="H49" s="149"/>
      <c r="I49" s="150"/>
    </row>
    <row r="50" spans="1:11" ht="15.75" x14ac:dyDescent="0.25">
      <c r="A50" s="194" t="s">
        <v>117</v>
      </c>
      <c r="B50" s="159">
        <f>ROUND(B45/100*F50,2)</f>
        <v>-46340.41</v>
      </c>
      <c r="C50" s="192"/>
      <c r="D50" s="192"/>
      <c r="E50" s="126"/>
      <c r="F50" s="197">
        <v>-2.5499999999999998</v>
      </c>
      <c r="G50" s="126"/>
      <c r="H50" s="149"/>
      <c r="I50" s="150"/>
    </row>
    <row r="51" spans="1:11" ht="15.75" x14ac:dyDescent="0.25">
      <c r="A51" s="198" t="s">
        <v>118</v>
      </c>
      <c r="B51" s="165">
        <f>ROUND(B46/100*F51,2)</f>
        <v>-118420.76</v>
      </c>
      <c r="C51" s="192"/>
      <c r="D51" s="192"/>
      <c r="E51" s="126"/>
      <c r="F51" s="197">
        <v>-3.05</v>
      </c>
      <c r="G51" s="126"/>
      <c r="H51" s="149"/>
      <c r="I51" s="150"/>
    </row>
    <row r="52" spans="1:11" ht="31.5" x14ac:dyDescent="0.25">
      <c r="A52" s="199" t="s">
        <v>129</v>
      </c>
      <c r="B52" s="170">
        <f>SUM(B50:B51)</f>
        <v>-164761.16999999998</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119</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131</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132</v>
      </c>
      <c r="B59" s="170">
        <f>(B56/100)*F59</f>
        <v>0</v>
      </c>
      <c r="C59" s="208"/>
      <c r="D59" s="192"/>
      <c r="E59" s="126"/>
      <c r="F59" s="161">
        <f>ROUND(K91,2)</f>
        <v>-0.56000000000000005</v>
      </c>
      <c r="G59" s="167">
        <f>ROUND(L91,2)</f>
        <v>-0.56000000000000005</v>
      </c>
      <c r="H59" s="168">
        <f>ROUND(J91,2)</f>
        <v>-0.56000000000000005</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145</v>
      </c>
      <c r="B67" s="229">
        <f>B7</f>
        <v>3.9810000000000005E-2</v>
      </c>
    </row>
    <row r="68" spans="1:16" hidden="1" x14ac:dyDescent="0.25">
      <c r="A68" s="1" t="s">
        <v>147</v>
      </c>
      <c r="B68" s="230">
        <v>3.5537999999999998</v>
      </c>
      <c r="C68" s="1" t="s">
        <v>201</v>
      </c>
    </row>
    <row r="69" spans="1:16" hidden="1" x14ac:dyDescent="0.25">
      <c r="A69" s="1" t="s">
        <v>148</v>
      </c>
      <c r="B69" s="230">
        <v>8.1000000000000003E-2</v>
      </c>
      <c r="C69" s="1" t="s">
        <v>201</v>
      </c>
    </row>
    <row r="70" spans="1:16" hidden="1" x14ac:dyDescent="0.25">
      <c r="A70" s="1" t="s">
        <v>146</v>
      </c>
      <c r="B70" s="230">
        <v>9.3899999999999997E-2</v>
      </c>
      <c r="C70" s="1" t="s">
        <v>201</v>
      </c>
    </row>
    <row r="71" spans="1:16" hidden="1" x14ac:dyDescent="0.25">
      <c r="B71" s="231"/>
    </row>
    <row r="72" spans="1:16" hidden="1" x14ac:dyDescent="0.25">
      <c r="A72" t="s">
        <v>149</v>
      </c>
      <c r="B72" s="231">
        <f>MTClassIIISkimPrice</f>
        <v>8.1000000000000003E-2</v>
      </c>
    </row>
    <row r="73" spans="1:16" hidden="1" x14ac:dyDescent="0.25">
      <c r="A73" t="s">
        <v>150</v>
      </c>
      <c r="B73" s="231">
        <f>MTClassIIIButterfatPrice</f>
        <v>3.4538000000000002</v>
      </c>
    </row>
    <row r="74" spans="1:16" hidden="1" x14ac:dyDescent="0.25"/>
    <row r="75" spans="1:16" hidden="1" x14ac:dyDescent="0.25"/>
    <row r="76" spans="1:16" hidden="1" x14ac:dyDescent="0.25">
      <c r="A76" t="s">
        <v>151</v>
      </c>
      <c r="B76" s="232">
        <f>(100*B67*B68)+(100*(1-B67)*B70)</f>
        <v>23.163861900000001</v>
      </c>
    </row>
    <row r="77" spans="1:16" hidden="1" x14ac:dyDescent="0.25">
      <c r="A77" t="s">
        <v>152</v>
      </c>
      <c r="B77" s="232">
        <f>(100*B67*B73+100*(1-B67)*B72)</f>
        <v>21.527116800000002</v>
      </c>
    </row>
    <row r="78" spans="1:16" hidden="1" x14ac:dyDescent="0.25"/>
    <row r="79" spans="1:16" ht="60" hidden="1" x14ac:dyDescent="0.25">
      <c r="F79" s="233" t="s">
        <v>158</v>
      </c>
      <c r="G79" s="233" t="s">
        <v>159</v>
      </c>
      <c r="H79" s="233" t="s">
        <v>160</v>
      </c>
      <c r="J79" s="235" t="s">
        <v>161</v>
      </c>
      <c r="K79" s="240" t="s">
        <v>162</v>
      </c>
      <c r="L79" s="235" t="s">
        <v>163</v>
      </c>
      <c r="N79" s="239" t="s">
        <v>165</v>
      </c>
      <c r="O79" s="239" t="s">
        <v>164</v>
      </c>
      <c r="P79" s="239" t="s">
        <v>166</v>
      </c>
    </row>
    <row r="80" spans="1:16" hidden="1" x14ac:dyDescent="0.25">
      <c r="A80" t="s">
        <v>153</v>
      </c>
      <c r="B80" s="232">
        <f>B76</f>
        <v>23.163861900000001</v>
      </c>
    </row>
    <row r="81" spans="1:16" hidden="1" x14ac:dyDescent="0.25">
      <c r="A81" t="s">
        <v>155</v>
      </c>
      <c r="B81" s="232">
        <v>-2.2000000000000002</v>
      </c>
    </row>
    <row r="82" spans="1:16" hidden="1" x14ac:dyDescent="0.25">
      <c r="A82" s="245" t="s">
        <v>188</v>
      </c>
      <c r="B82" s="236">
        <f>-B77</f>
        <v>-21.527116800000002</v>
      </c>
    </row>
    <row r="83" spans="1:16" hidden="1" x14ac:dyDescent="0.25">
      <c r="A83" t="s">
        <v>154</v>
      </c>
      <c r="B83" s="232">
        <f>SUM(B80:B82)</f>
        <v>-0.56325490000000045</v>
      </c>
      <c r="F83" s="5">
        <f>N83/N$91</f>
        <v>1</v>
      </c>
      <c r="G83" s="5">
        <f>O83/O$91</f>
        <v>1</v>
      </c>
      <c r="H83" s="5">
        <f>P83/P$91</f>
        <v>1</v>
      </c>
      <c r="J83" s="232">
        <f>$B83*F83</f>
        <v>-0.56325490000000045</v>
      </c>
      <c r="K83" s="232">
        <f>$B83*G83</f>
        <v>-0.56325490000000045</v>
      </c>
      <c r="L83" s="232">
        <f>$B83*H83</f>
        <v>-0.56325490000000045</v>
      </c>
      <c r="N83" s="238">
        <f>O83-65000*2</f>
        <v>1088300</v>
      </c>
      <c r="O83" s="238">
        <v>1218300</v>
      </c>
      <c r="P83" s="238">
        <f>O83+65000*2</f>
        <v>1348300</v>
      </c>
    </row>
    <row r="84" spans="1:16" hidden="1" x14ac:dyDescent="0.25"/>
    <row r="85" spans="1:16" hidden="1" x14ac:dyDescent="0.25">
      <c r="A85" t="s">
        <v>189</v>
      </c>
      <c r="B85" s="234">
        <f>B77</f>
        <v>21.527116800000002</v>
      </c>
    </row>
    <row r="86" spans="1:16" hidden="1" x14ac:dyDescent="0.25">
      <c r="A86" t="s">
        <v>190</v>
      </c>
      <c r="B86" s="234">
        <v>0</v>
      </c>
    </row>
    <row r="87" spans="1:16" hidden="1" x14ac:dyDescent="0.25">
      <c r="A87" t="s">
        <v>156</v>
      </c>
      <c r="B87" s="234">
        <v>-5.43</v>
      </c>
    </row>
    <row r="88" spans="1:16" hidden="1" x14ac:dyDescent="0.25">
      <c r="A88" s="245" t="s">
        <v>188</v>
      </c>
      <c r="B88" s="236">
        <f>-B77</f>
        <v>-21.527116800000002</v>
      </c>
    </row>
    <row r="89" spans="1:16" hidden="1" x14ac:dyDescent="0.25">
      <c r="A89" t="s">
        <v>157</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-0.56325490000000045</v>
      </c>
      <c r="K91" s="241">
        <f>SUM(K80:K89)</f>
        <v>-0.56325490000000045</v>
      </c>
      <c r="L91" s="232">
        <f>SUM(L80:L89)</f>
        <v>-0.56325490000000045</v>
      </c>
      <c r="N91" s="238">
        <f>SUM(N80:N89)</f>
        <v>1088300</v>
      </c>
      <c r="O91" s="238">
        <f>SUM(O80:O89)</f>
        <v>1218300</v>
      </c>
      <c r="P91" s="238">
        <f>SUM(P80:P89)</f>
        <v>1348300</v>
      </c>
    </row>
    <row r="92" spans="1:16" hidden="1" x14ac:dyDescent="0.25"/>
  </sheetData>
  <sheetProtection algorithmName="SHA-512" hashValue="Cv/AD0Ed0eMzldX3l5il2CmbIxcycG/+HeRk70W+a0k+jgtTAkzYchRqQ/BYdX4F3KDVBh/z1HWss7XXHXlbRw==" saltValue="4bZ4B65C26eUZ5Y7X4+4MA=="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1"/>
  <sheetViews>
    <sheetView topLeftCell="A22" workbookViewId="0">
      <selection activeCell="D29" sqref="D29"/>
    </sheetView>
  </sheetViews>
  <sheetFormatPr defaultRowHeight="15" x14ac:dyDescent="0.25"/>
  <cols>
    <col min="1" max="1" width="85.5703125" customWidth="1"/>
    <col min="2" max="2" width="15.42578125" customWidth="1"/>
  </cols>
  <sheetData>
    <row r="1" spans="1:2" x14ac:dyDescent="0.25">
      <c r="A1" s="3" t="s">
        <v>74</v>
      </c>
    </row>
    <row r="2" spans="1:2" x14ac:dyDescent="0.25">
      <c r="A2" s="34">
        <v>45536</v>
      </c>
    </row>
    <row r="4" spans="1:2" x14ac:dyDescent="0.25">
      <c r="B4" s="37" t="s">
        <v>60</v>
      </c>
    </row>
    <row r="5" spans="1:2" x14ac:dyDescent="0.25">
      <c r="A5" s="2" t="s">
        <v>50</v>
      </c>
      <c r="B5" s="33">
        <f>PoolDailyProd</f>
        <v>498060</v>
      </c>
    </row>
    <row r="6" spans="1:2" x14ac:dyDescent="0.25">
      <c r="A6" s="36" t="s">
        <v>77</v>
      </c>
      <c r="B6" s="32">
        <f>PoolButterfatPercent</f>
        <v>3.9810000000000005E-2</v>
      </c>
    </row>
    <row r="7" spans="1:2" x14ac:dyDescent="0.25">
      <c r="A7" s="2" t="s">
        <v>51</v>
      </c>
      <c r="B7" s="32">
        <f>PoolOverQuotaProdPerc</f>
        <v>6.4919999999999995E-3</v>
      </c>
    </row>
    <row r="8" spans="1:2" x14ac:dyDescent="0.25">
      <c r="B8" s="31"/>
    </row>
    <row r="9" spans="1:2" x14ac:dyDescent="0.25">
      <c r="A9" t="s">
        <v>75</v>
      </c>
      <c r="B9" s="31"/>
    </row>
    <row r="10" spans="1:2" x14ac:dyDescent="0.25">
      <c r="A10" s="35" t="s">
        <v>21</v>
      </c>
      <c r="B10" s="32">
        <f>EstClsIBFUtPerc</f>
        <v>0.61229999999999996</v>
      </c>
    </row>
    <row r="11" spans="1:2" x14ac:dyDescent="0.25">
      <c r="A11" s="35" t="s">
        <v>22</v>
      </c>
      <c r="B11" s="32">
        <f>EstClsIIBFUtPerc</f>
        <v>0.17710000000000001</v>
      </c>
    </row>
    <row r="12" spans="1:2" x14ac:dyDescent="0.25">
      <c r="A12" s="35" t="s">
        <v>23</v>
      </c>
      <c r="B12" s="38">
        <f>EstClsIIIBFUtPerc</f>
        <v>0.21060000000000004</v>
      </c>
    </row>
    <row r="13" spans="1:2" x14ac:dyDescent="0.25">
      <c r="B13" s="32">
        <f>SUM(B10:B12)</f>
        <v>1</v>
      </c>
    </row>
    <row r="14" spans="1:2" x14ac:dyDescent="0.25">
      <c r="B14" s="31"/>
    </row>
    <row r="15" spans="1:2" x14ac:dyDescent="0.25">
      <c r="A15" t="s">
        <v>76</v>
      </c>
      <c r="B15" s="31"/>
    </row>
    <row r="16" spans="1:2" x14ac:dyDescent="0.25">
      <c r="A16" s="35" t="s">
        <v>21</v>
      </c>
      <c r="B16" s="32">
        <f>EstClsISkimUtPerc</f>
        <v>0.9173</v>
      </c>
    </row>
    <row r="17" spans="1:2" x14ac:dyDescent="0.25">
      <c r="A17" s="35" t="s">
        <v>22</v>
      </c>
      <c r="B17" s="32">
        <f>EstClsIISkimUTPerc</f>
        <v>-8.9000000000000017E-3</v>
      </c>
    </row>
    <row r="18" spans="1:2" x14ac:dyDescent="0.25">
      <c r="A18" s="35" t="s">
        <v>23</v>
      </c>
      <c r="B18" s="38">
        <f>EstClsIIISkimUtPerc</f>
        <v>9.1599999999999987E-2</v>
      </c>
    </row>
    <row r="19" spans="1:2" x14ac:dyDescent="0.25">
      <c r="B19" s="32">
        <f>SUM(B16:B18)</f>
        <v>1</v>
      </c>
    </row>
    <row r="20" spans="1:2" x14ac:dyDescent="0.25">
      <c r="B20" s="32"/>
    </row>
    <row r="21" spans="1:2" ht="15.75" x14ac:dyDescent="0.25">
      <c r="A21" s="213" t="s">
        <v>142</v>
      </c>
      <c r="B21" s="39">
        <f>'Quota Price Estimator'!D27</f>
        <v>-58470</v>
      </c>
    </row>
    <row r="22" spans="1:2" x14ac:dyDescent="0.25">
      <c r="B22" s="31"/>
    </row>
    <row r="23" spans="1:2" x14ac:dyDescent="0.25">
      <c r="A23" t="s">
        <v>134</v>
      </c>
      <c r="B23" s="32">
        <f>EstClsIPckgSurpPoolBFUtPerc</f>
        <v>0.23979099999999998</v>
      </c>
    </row>
    <row r="24" spans="1:2" x14ac:dyDescent="0.25">
      <c r="A24" t="s">
        <v>135</v>
      </c>
      <c r="B24" s="32">
        <f>EstClsIPckgSurpPoolSkimUtPerc</f>
        <v>0.38734900000000005</v>
      </c>
    </row>
    <row r="25" spans="1:2" x14ac:dyDescent="0.25">
      <c r="B25" s="31"/>
    </row>
    <row r="26" spans="1:2" x14ac:dyDescent="0.25">
      <c r="A26" t="s">
        <v>137</v>
      </c>
      <c r="B26" s="32">
        <f>PercClsIPckgSurptoContigStates</f>
        <v>0.318824</v>
      </c>
    </row>
    <row r="27" spans="1:2" x14ac:dyDescent="0.25">
      <c r="B27" s="31"/>
    </row>
    <row r="28" spans="1:2" x14ac:dyDescent="0.25">
      <c r="A28" s="214" t="s">
        <v>140</v>
      </c>
      <c r="B28" s="32">
        <f>EstBulkSurpPoolMilkUtPerc</f>
        <v>0</v>
      </c>
    </row>
    <row r="29" spans="1:2" x14ac:dyDescent="0.25">
      <c r="B29" s="31"/>
    </row>
    <row r="30" spans="1:2" x14ac:dyDescent="0.25">
      <c r="A30" t="s">
        <v>143</v>
      </c>
      <c r="B30" s="39">
        <f>'Quota Price Estimator'!F59</f>
        <v>-0.56000000000000005</v>
      </c>
    </row>
    <row r="33" spans="1:2" ht="30" x14ac:dyDescent="0.25">
      <c r="B33" s="4" t="s">
        <v>187</v>
      </c>
    </row>
    <row r="34" spans="1:2" x14ac:dyDescent="0.25">
      <c r="A34" t="s">
        <v>169</v>
      </c>
      <c r="B34" s="248">
        <f>'Dairy Revenue Estimator'!B9</f>
        <v>22.22243322444271</v>
      </c>
    </row>
    <row r="35" spans="1:2" x14ac:dyDescent="0.25">
      <c r="A35" t="s">
        <v>170</v>
      </c>
      <c r="B35" s="249">
        <f>'Dairy Revenue Estimator'!C9</f>
        <v>3.5496907300000005</v>
      </c>
    </row>
    <row r="36" spans="1:2" x14ac:dyDescent="0.25">
      <c r="A36" t="s">
        <v>171</v>
      </c>
      <c r="B36" s="249">
        <f>'Dairy Revenue Estimator'!D9</f>
        <v>0.1015390224812716</v>
      </c>
    </row>
    <row r="37" spans="1:2" x14ac:dyDescent="0.25">
      <c r="B37" s="246"/>
    </row>
    <row r="38" spans="1:2" x14ac:dyDescent="0.25">
      <c r="A38" t="s">
        <v>19</v>
      </c>
      <c r="B38" s="250">
        <f>'Quota Price Estimator'!B13</f>
        <v>14941800</v>
      </c>
    </row>
    <row r="39" spans="1:2" x14ac:dyDescent="0.25">
      <c r="B39" s="246"/>
    </row>
    <row r="40" spans="1:2" x14ac:dyDescent="0.25">
      <c r="A40" t="s">
        <v>172</v>
      </c>
      <c r="B40" s="251">
        <f>'Quota Price Estimator'!B7</f>
        <v>3.9810000000000005E-2</v>
      </c>
    </row>
    <row r="41" spans="1:2" x14ac:dyDescent="0.25">
      <c r="B41" s="247"/>
    </row>
    <row r="42" spans="1:2" x14ac:dyDescent="0.25">
      <c r="A42" t="s">
        <v>173</v>
      </c>
      <c r="B42" s="251">
        <f>'Quota Price Estimator'!B8</f>
        <v>6.4919999999999995E-3</v>
      </c>
    </row>
    <row r="43" spans="1:2" x14ac:dyDescent="0.25">
      <c r="B43" s="246"/>
    </row>
    <row r="44" spans="1:2" x14ac:dyDescent="0.25">
      <c r="A44" t="s">
        <v>174</v>
      </c>
      <c r="B44" s="252">
        <f>'Quota Price Estimator'!H16</f>
        <v>0.61229999999999996</v>
      </c>
    </row>
    <row r="45" spans="1:2" x14ac:dyDescent="0.25">
      <c r="A45" t="s">
        <v>175</v>
      </c>
      <c r="B45" s="252">
        <f>'Quota Price Estimator'!H17</f>
        <v>0.17710000000000001</v>
      </c>
    </row>
    <row r="46" spans="1:2" x14ac:dyDescent="0.25">
      <c r="A46" t="s">
        <v>176</v>
      </c>
      <c r="B46" s="252">
        <f>'Quota Price Estimator'!H18</f>
        <v>0.21060000000000004</v>
      </c>
    </row>
    <row r="47" spans="1:2" x14ac:dyDescent="0.25">
      <c r="B47" s="247"/>
    </row>
    <row r="48" spans="1:2" x14ac:dyDescent="0.25">
      <c r="A48" t="s">
        <v>177</v>
      </c>
      <c r="B48" s="252">
        <f>'Quota Price Estimator'!I16</f>
        <v>0.9173</v>
      </c>
    </row>
    <row r="49" spans="1:2" x14ac:dyDescent="0.25">
      <c r="A49" t="s">
        <v>178</v>
      </c>
      <c r="B49" s="252">
        <f>'Quota Price Estimator'!I17</f>
        <v>-8.9000000000000017E-3</v>
      </c>
    </row>
    <row r="50" spans="1:2" x14ac:dyDescent="0.25">
      <c r="A50" t="s">
        <v>179</v>
      </c>
      <c r="B50" s="252">
        <f>'Quota Price Estimator'!I18</f>
        <v>9.1599999999999987E-2</v>
      </c>
    </row>
    <row r="51" spans="1:2" x14ac:dyDescent="0.25">
      <c r="B51" s="246"/>
    </row>
    <row r="52" spans="1:2" x14ac:dyDescent="0.25">
      <c r="A52" t="s">
        <v>180</v>
      </c>
      <c r="B52" s="253">
        <f>ROUND('Quota Price Estimator'!B42/100,2)</f>
        <v>56999.19</v>
      </c>
    </row>
    <row r="53" spans="1:2" x14ac:dyDescent="0.25">
      <c r="A53" t="s">
        <v>181</v>
      </c>
      <c r="B53" s="254">
        <f>SurplusAdjustmentPckgClassI</f>
        <v>-164761.16999999998</v>
      </c>
    </row>
    <row r="54" spans="1:2" x14ac:dyDescent="0.25">
      <c r="B54" s="246"/>
    </row>
    <row r="55" spans="1:2" x14ac:dyDescent="0.25">
      <c r="A55" t="s">
        <v>182</v>
      </c>
      <c r="B55" s="253">
        <f>ROUND('Quota Price Estimator'!B56/100,2)</f>
        <v>0</v>
      </c>
    </row>
    <row r="56" spans="1:2" x14ac:dyDescent="0.25">
      <c r="A56" t="s">
        <v>183</v>
      </c>
      <c r="B56" s="254">
        <f>'Quota Price Estimator'!F59</f>
        <v>-0.56000000000000005</v>
      </c>
    </row>
    <row r="57" spans="1:2" x14ac:dyDescent="0.25">
      <c r="A57" t="s">
        <v>184</v>
      </c>
      <c r="B57" s="254">
        <f>SurplusAdjustmentBulkSales</f>
        <v>0</v>
      </c>
    </row>
    <row r="58" spans="1:2" x14ac:dyDescent="0.25">
      <c r="B58" s="246"/>
    </row>
    <row r="59" spans="1:2" x14ac:dyDescent="0.25">
      <c r="A59" t="s">
        <v>185</v>
      </c>
      <c r="B59" s="254">
        <f>'Quota Price Estimator'!D27</f>
        <v>-58470</v>
      </c>
    </row>
    <row r="60" spans="1:2" x14ac:dyDescent="0.25">
      <c r="B60" s="246"/>
    </row>
    <row r="61" spans="1:2" x14ac:dyDescent="0.25">
      <c r="A61" s="40" t="s">
        <v>186</v>
      </c>
      <c r="B61" s="254">
        <f>'Quota Price Estimator'!B30</f>
        <v>3566795.3582579512</v>
      </c>
    </row>
  </sheetData>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2"/>
  <sheetViews>
    <sheetView zoomScaleNormal="100" workbookViewId="0">
      <pane ySplit="2" topLeftCell="A94" activePane="bottomLeft" state="frozenSplit"/>
      <selection pane="bottomLeft" activeCell="F135" sqref="F135"/>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M2" s="216" t="s">
        <v>210</v>
      </c>
      <c r="P2" s="215"/>
      <c r="Q2" s="215"/>
      <c r="R2" s="215"/>
      <c r="U2" s="215"/>
      <c r="V2" s="215"/>
      <c r="W2" s="215"/>
    </row>
    <row r="3" spans="1:23"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row>
    <row r="4" spans="1:23"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x14ac:dyDescent="0.25">
      <c r="A22" s="14">
        <v>42856</v>
      </c>
      <c r="B22" s="13">
        <v>0.4178</v>
      </c>
      <c r="C22" s="13">
        <v>0.12809999999999999</v>
      </c>
      <c r="D22" s="13">
        <v>0.4541</v>
      </c>
      <c r="E22" s="13">
        <f t="shared" si="0"/>
        <v>1</v>
      </c>
      <c r="G22" s="15"/>
      <c r="H22" s="13"/>
      <c r="I22" s="13"/>
      <c r="J22" s="13">
        <v>0.1188</v>
      </c>
      <c r="K22" s="13">
        <f t="shared" si="1"/>
        <v>0.1188</v>
      </c>
    </row>
    <row r="23" spans="1:1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08" si="9">SUM(B96:D96)</f>
        <v>1</v>
      </c>
      <c r="G96" s="15">
        <v>45108</v>
      </c>
      <c r="H96" s="13">
        <v>0.90710000000000002</v>
      </c>
      <c r="I96" s="13">
        <v>3.9800000000000002E-2</v>
      </c>
      <c r="J96" s="13">
        <v>5.3100000000000001E-2</v>
      </c>
      <c r="K96" s="13">
        <f t="shared" ref="K96:K108"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c r="B109" s="13"/>
      <c r="C109" s="13"/>
      <c r="D109" s="13"/>
      <c r="E109" s="13"/>
      <c r="G109" s="15"/>
      <c r="H109" s="13"/>
      <c r="I109" s="13"/>
      <c r="J109" s="13"/>
      <c r="K109" s="13"/>
    </row>
    <row r="110" spans="1:11" x14ac:dyDescent="0.25">
      <c r="A110" s="14"/>
      <c r="B110" s="13"/>
      <c r="C110" s="13"/>
      <c r="D110" s="13"/>
      <c r="E110" s="13"/>
      <c r="G110" s="15"/>
      <c r="H110" s="13"/>
      <c r="I110" s="13"/>
      <c r="J110" s="13"/>
      <c r="K110" s="13"/>
    </row>
    <row r="111" spans="1:11" x14ac:dyDescent="0.25">
      <c r="A111" s="14"/>
      <c r="B111" s="13"/>
      <c r="C111" s="13"/>
      <c r="D111" s="13"/>
      <c r="E111" s="13"/>
      <c r="G111" s="15"/>
      <c r="H111" s="13"/>
      <c r="I111" s="13"/>
      <c r="J111" s="13"/>
      <c r="K111" s="13"/>
    </row>
    <row r="112" spans="1:11" x14ac:dyDescent="0.25">
      <c r="A112" s="14"/>
      <c r="B112" s="13"/>
      <c r="C112" s="13"/>
      <c r="D112" s="13"/>
      <c r="E112" s="13"/>
      <c r="G112" s="15"/>
      <c r="H112" s="13"/>
      <c r="I112" s="13"/>
      <c r="J112" s="13"/>
      <c r="K112" s="13"/>
    </row>
    <row r="113" spans="1:17" x14ac:dyDescent="0.25">
      <c r="A113" s="14"/>
      <c r="B113" s="13"/>
      <c r="C113" s="13"/>
      <c r="D113" s="13"/>
      <c r="E113" s="13"/>
      <c r="G113" s="15"/>
      <c r="H113" s="13"/>
      <c r="I113" s="13"/>
      <c r="J113" s="13"/>
      <c r="K113" s="13"/>
    </row>
    <row r="114" spans="1:17" x14ac:dyDescent="0.25">
      <c r="A114" s="14"/>
      <c r="B114" s="13"/>
      <c r="C114" s="13"/>
      <c r="D114" s="13"/>
      <c r="E114" s="13"/>
      <c r="G114" s="15"/>
      <c r="H114" s="13"/>
      <c r="I114" s="13"/>
      <c r="J114" s="13"/>
      <c r="K114" s="13"/>
    </row>
    <row r="115" spans="1:17" x14ac:dyDescent="0.25">
      <c r="A115" s="16" t="s">
        <v>62</v>
      </c>
      <c r="B115" s="17"/>
      <c r="C115" s="17"/>
      <c r="D115" s="17"/>
      <c r="E115" s="17"/>
      <c r="G115" s="16" t="s">
        <v>61</v>
      </c>
      <c r="H115" s="19"/>
      <c r="I115" s="19"/>
      <c r="J115" s="19"/>
      <c r="K115" s="19"/>
    </row>
    <row r="116" spans="1:17" x14ac:dyDescent="0.25">
      <c r="A116" s="27">
        <f>Pooling_Month</f>
        <v>45536</v>
      </c>
      <c r="B116" s="28" t="s">
        <v>21</v>
      </c>
      <c r="C116" s="28" t="s">
        <v>22</v>
      </c>
      <c r="D116" s="28" t="s">
        <v>23</v>
      </c>
      <c r="E116" s="28" t="s">
        <v>54</v>
      </c>
      <c r="G116" s="27">
        <f>Pooling_Month</f>
        <v>45536</v>
      </c>
      <c r="H116" s="28" t="s">
        <v>21</v>
      </c>
      <c r="I116" s="28" t="s">
        <v>22</v>
      </c>
      <c r="J116" s="28" t="s">
        <v>23</v>
      </c>
      <c r="K116" s="28" t="s">
        <v>54</v>
      </c>
      <c r="P116" s="100" t="s">
        <v>167</v>
      </c>
      <c r="Q116" s="100" t="s">
        <v>168</v>
      </c>
    </row>
    <row r="117" spans="1:17" x14ac:dyDescent="0.25">
      <c r="A117" s="31" t="s">
        <v>60</v>
      </c>
      <c r="B117" s="32">
        <v>0.61229999999999996</v>
      </c>
      <c r="C117" s="32">
        <v>0.17710000000000001</v>
      </c>
      <c r="D117" s="32">
        <v>0.21060000000000004</v>
      </c>
      <c r="E117" s="13">
        <v>1</v>
      </c>
      <c r="G117" s="31" t="s">
        <v>60</v>
      </c>
      <c r="H117" s="32">
        <v>0.9173</v>
      </c>
      <c r="I117" s="32">
        <v>-8.9000000000000017E-3</v>
      </c>
      <c r="J117" s="32">
        <v>9.1599999999999987E-2</v>
      </c>
      <c r="K117" s="13">
        <f>SUM(H117:J117)</f>
        <v>1</v>
      </c>
      <c r="M117" s="30"/>
      <c r="O117" s="99"/>
      <c r="P117" s="13">
        <f>1-E117</f>
        <v>0</v>
      </c>
      <c r="Q117" s="227">
        <f>1-K117</f>
        <v>0</v>
      </c>
    </row>
    <row r="118" spans="1:17" hidden="1" x14ac:dyDescent="0.25"/>
    <row r="119" spans="1:17" ht="15.75" hidden="1" customHeight="1" x14ac:dyDescent="0.25">
      <c r="L119" t="s">
        <v>200</v>
      </c>
      <c r="M119" s="100"/>
      <c r="N119" s="100"/>
      <c r="O119" s="100"/>
      <c r="P119" s="100"/>
      <c r="Q119" s="100"/>
    </row>
    <row r="120" spans="1:17" ht="30" hidden="1" x14ac:dyDescent="0.25">
      <c r="A120" s="40" t="s">
        <v>202</v>
      </c>
      <c r="B120" s="13">
        <f>B98-B96</f>
        <v>3.5899999999999932E-2</v>
      </c>
      <c r="C120" s="13">
        <f t="shared" ref="C120:E120" si="11">C98-C96</f>
        <v>-5.2799999999999986E-2</v>
      </c>
      <c r="D120" s="13">
        <f t="shared" si="11"/>
        <v>1.6900000000000026E-2</v>
      </c>
      <c r="E120" s="13">
        <f t="shared" si="11"/>
        <v>0</v>
      </c>
      <c r="F120" s="13"/>
      <c r="G120" s="13"/>
      <c r="H120" s="13">
        <f>H98-H96</f>
        <v>1.2199999999999989E-2</v>
      </c>
      <c r="I120" s="13">
        <f t="shared" ref="I120:K120" si="12">I98-I96</f>
        <v>-2.1600000000000001E-2</v>
      </c>
      <c r="J120" s="13">
        <f t="shared" si="12"/>
        <v>9.3999999999999986E-3</v>
      </c>
      <c r="K120" s="13">
        <f t="shared" si="12"/>
        <v>0</v>
      </c>
      <c r="M120" s="30"/>
      <c r="O120" s="99"/>
      <c r="Q120" s="30"/>
    </row>
    <row r="121" spans="1:17" hidden="1" x14ac:dyDescent="0.25">
      <c r="A121" s="93" t="s">
        <v>209</v>
      </c>
      <c r="B121" s="13">
        <f>B108</f>
        <v>0.57640000000000002</v>
      </c>
      <c r="C121" s="13">
        <f t="shared" ref="C121:E121" si="13">C108</f>
        <v>0.22989999999999999</v>
      </c>
      <c r="D121" s="13">
        <f t="shared" si="13"/>
        <v>0.19370000000000001</v>
      </c>
      <c r="E121" s="13">
        <f t="shared" si="13"/>
        <v>1</v>
      </c>
      <c r="F121" s="13"/>
      <c r="G121" s="13"/>
      <c r="H121" s="13">
        <f>H108</f>
        <v>0.90510000000000002</v>
      </c>
      <c r="I121" s="13">
        <f t="shared" ref="I121:K121" si="14">I108</f>
        <v>1.2699999999999999E-2</v>
      </c>
      <c r="J121" s="13">
        <f t="shared" si="14"/>
        <v>8.2199999999999995E-2</v>
      </c>
      <c r="K121" s="13">
        <f t="shared" si="14"/>
        <v>1</v>
      </c>
      <c r="M121" s="30">
        <f>C121/I121</f>
        <v>18.102362204724411</v>
      </c>
      <c r="N121" s="228"/>
      <c r="O121" s="99">
        <f>C121/I121</f>
        <v>18.102362204724411</v>
      </c>
      <c r="Q121" s="30"/>
    </row>
    <row r="122" spans="1:17" hidden="1" x14ac:dyDescent="0.25">
      <c r="A122" s="91" t="s">
        <v>203</v>
      </c>
      <c r="B122" s="258">
        <f>SUM(B120:B121)</f>
        <v>0.61229999999999996</v>
      </c>
      <c r="C122" s="258">
        <f t="shared" ref="C122:J122" si="15">SUM(C120:C121)</f>
        <v>0.17710000000000001</v>
      </c>
      <c r="D122" s="258">
        <f t="shared" si="15"/>
        <v>0.21060000000000004</v>
      </c>
      <c r="E122" s="13">
        <f t="shared" ref="E122:E129" si="16">SUM(B122:D122)</f>
        <v>1</v>
      </c>
      <c r="F122" s="258"/>
      <c r="G122" s="258"/>
      <c r="H122" s="258">
        <f t="shared" si="15"/>
        <v>0.9173</v>
      </c>
      <c r="I122" s="258">
        <f t="shared" si="15"/>
        <v>-8.9000000000000017E-3</v>
      </c>
      <c r="J122" s="258">
        <f t="shared" si="15"/>
        <v>9.1599999999999987E-2</v>
      </c>
      <c r="K122" s="13">
        <f t="shared" ref="K122:K129" si="17">SUM(H122:J122)</f>
        <v>1</v>
      </c>
      <c r="M122" s="30">
        <f>C122/I122</f>
        <v>-19.898876404494381</v>
      </c>
      <c r="O122" s="99">
        <f>C122/I122</f>
        <v>-19.898876404494381</v>
      </c>
      <c r="Q122" s="30"/>
    </row>
    <row r="123" spans="1:17" hidden="1" x14ac:dyDescent="0.25">
      <c r="A123" s="92" t="s">
        <v>204</v>
      </c>
      <c r="B123" s="13">
        <f>B98</f>
        <v>0.58409999999999995</v>
      </c>
      <c r="C123" s="13">
        <f t="shared" ref="C123:E123" si="18">C98</f>
        <v>0.1444</v>
      </c>
      <c r="D123" s="13">
        <f t="shared" si="18"/>
        <v>0.27150000000000002</v>
      </c>
      <c r="E123" s="13">
        <f t="shared" si="18"/>
        <v>1</v>
      </c>
      <c r="F123" s="13"/>
      <c r="G123" s="13"/>
      <c r="H123" s="13">
        <f>H98</f>
        <v>0.91930000000000001</v>
      </c>
      <c r="I123" s="13">
        <f t="shared" ref="I123:K123" si="19">I98</f>
        <v>1.8200000000000001E-2</v>
      </c>
      <c r="J123" s="13">
        <f t="shared" si="19"/>
        <v>6.25E-2</v>
      </c>
      <c r="K123" s="13">
        <f t="shared" si="19"/>
        <v>1</v>
      </c>
      <c r="M123" s="30">
        <f>C123/I123</f>
        <v>7.9340659340659334</v>
      </c>
      <c r="N123" s="228"/>
      <c r="O123" s="99">
        <f>C123/I123</f>
        <v>7.9340659340659334</v>
      </c>
      <c r="Q123" s="30"/>
    </row>
    <row r="124" spans="1:17" hidden="1" x14ac:dyDescent="0.25">
      <c r="A124" t="s">
        <v>84</v>
      </c>
      <c r="B124" s="258">
        <f>AVERAGE(B122:B123)</f>
        <v>0.59819999999999995</v>
      </c>
      <c r="C124" s="258">
        <f t="shared" ref="C124:J124" si="20">AVERAGE(C122:C123)</f>
        <v>0.16075</v>
      </c>
      <c r="D124" s="258">
        <f t="shared" si="20"/>
        <v>0.24105000000000004</v>
      </c>
      <c r="E124" s="13">
        <f t="shared" si="16"/>
        <v>1</v>
      </c>
      <c r="F124" s="258"/>
      <c r="G124" s="258"/>
      <c r="H124" s="258">
        <f t="shared" si="20"/>
        <v>0.91830000000000001</v>
      </c>
      <c r="I124" s="258">
        <f t="shared" si="20"/>
        <v>4.6499999999999996E-3</v>
      </c>
      <c r="J124" s="258">
        <f t="shared" si="20"/>
        <v>7.7049999999999993E-2</v>
      </c>
      <c r="K124" s="13">
        <f t="shared" si="17"/>
        <v>1</v>
      </c>
      <c r="L124" s="258"/>
      <c r="M124" s="30"/>
      <c r="O124" s="99"/>
      <c r="Q124" s="30"/>
    </row>
    <row r="125" spans="1:17" hidden="1" x14ac:dyDescent="0.25">
      <c r="E125" s="13"/>
      <c r="K125" s="13"/>
    </row>
    <row r="126" spans="1:17" hidden="1" x14ac:dyDescent="0.25">
      <c r="A126" s="92" t="s">
        <v>205</v>
      </c>
      <c r="B126" s="13">
        <f>B86</f>
        <v>0.51454003999999998</v>
      </c>
      <c r="C126" s="13">
        <f t="shared" ref="C126:E126" si="21">C86</f>
        <v>0.14160133999999999</v>
      </c>
      <c r="D126" s="13">
        <f t="shared" si="21"/>
        <v>0.34385862</v>
      </c>
      <c r="E126" s="13">
        <f t="shared" si="21"/>
        <v>1</v>
      </c>
      <c r="F126" s="13"/>
      <c r="G126" s="13"/>
      <c r="H126" s="13">
        <f>H86</f>
        <v>0.89180519000000003</v>
      </c>
      <c r="I126" s="13">
        <f t="shared" ref="I126:K126" si="22">I86</f>
        <v>3.7981059999999997E-2</v>
      </c>
      <c r="J126" s="13">
        <f t="shared" si="22"/>
        <v>7.0213750000000005E-2</v>
      </c>
      <c r="K126" s="13">
        <f t="shared" si="22"/>
        <v>1</v>
      </c>
      <c r="M126" s="30">
        <f>C126/I126</f>
        <v>3.7282092706206726</v>
      </c>
      <c r="N126" s="228"/>
      <c r="O126" s="99">
        <f>C126/I126</f>
        <v>3.7282092706206726</v>
      </c>
    </row>
    <row r="127" spans="1:17" hidden="1" x14ac:dyDescent="0.25">
      <c r="A127" s="91" t="s">
        <v>206</v>
      </c>
      <c r="B127" s="13">
        <f>B74</f>
        <v>0.5105062838638228</v>
      </c>
      <c r="C127" s="13">
        <f t="shared" ref="C127:E127" si="23">C74</f>
        <v>0.13526884282980647</v>
      </c>
      <c r="D127" s="13">
        <f t="shared" si="23"/>
        <v>0.35422487330637076</v>
      </c>
      <c r="E127" s="13">
        <f t="shared" si="23"/>
        <v>1</v>
      </c>
      <c r="F127" s="13"/>
      <c r="G127" s="13"/>
      <c r="H127" s="13">
        <f>H74</f>
        <v>0.89790577053575293</v>
      </c>
      <c r="I127" s="13">
        <f t="shared" ref="I127:K127" si="24">I74</f>
        <v>3.2590706689359344E-2</v>
      </c>
      <c r="J127" s="13">
        <f t="shared" si="24"/>
        <v>6.9503522774887722E-2</v>
      </c>
      <c r="K127" s="13">
        <f t="shared" si="24"/>
        <v>1</v>
      </c>
      <c r="M127" s="30">
        <f>C127/I127</f>
        <v>4.150534203481107</v>
      </c>
      <c r="N127" s="228"/>
      <c r="O127" s="99">
        <f>C127/I127</f>
        <v>4.150534203481107</v>
      </c>
    </row>
    <row r="128" spans="1:17" hidden="1" x14ac:dyDescent="0.25">
      <c r="A128" s="40" t="s">
        <v>207</v>
      </c>
      <c r="B128" s="13">
        <f>AVERAGE(B122,B123,B126,B127)</f>
        <v>0.55536158096595567</v>
      </c>
      <c r="C128" s="13">
        <f t="shared" ref="C128:J128" si="25">AVERAGE(C122,C123,C126,C127)</f>
        <v>0.14959254570745162</v>
      </c>
      <c r="D128" s="13">
        <f t="shared" si="25"/>
        <v>0.29504587332659271</v>
      </c>
      <c r="E128" s="13">
        <f t="shared" si="16"/>
        <v>1</v>
      </c>
      <c r="F128" s="13"/>
      <c r="G128" s="13"/>
      <c r="H128" s="13">
        <f t="shared" si="25"/>
        <v>0.90657774013393833</v>
      </c>
      <c r="I128" s="13">
        <f t="shared" si="25"/>
        <v>1.9967941672339836E-2</v>
      </c>
      <c r="J128" s="13">
        <f t="shared" si="25"/>
        <v>7.3454318193721918E-2</v>
      </c>
      <c r="K128" s="13">
        <f t="shared" si="17"/>
        <v>1</v>
      </c>
    </row>
    <row r="129" spans="1:11" hidden="1" x14ac:dyDescent="0.25">
      <c r="A129" s="40" t="s">
        <v>208</v>
      </c>
      <c r="B129" s="13">
        <f>AVERAGE(B122,B123,B126)</f>
        <v>0.57031334666666667</v>
      </c>
      <c r="C129" s="13">
        <f t="shared" ref="C129:J129" si="26">AVERAGE(C122,C123,C126)</f>
        <v>0.15436711333333333</v>
      </c>
      <c r="D129" s="13">
        <f t="shared" si="26"/>
        <v>0.27531954000000003</v>
      </c>
      <c r="E129" s="13">
        <f t="shared" si="16"/>
        <v>1</v>
      </c>
      <c r="F129" s="13"/>
      <c r="G129" s="13"/>
      <c r="H129" s="13">
        <f t="shared" si="26"/>
        <v>0.90946839666666668</v>
      </c>
      <c r="I129" s="13">
        <f t="shared" si="26"/>
        <v>1.5760353333333334E-2</v>
      </c>
      <c r="J129" s="13">
        <f t="shared" si="26"/>
        <v>7.4771249999999997E-2</v>
      </c>
      <c r="K129" s="13">
        <f t="shared" si="17"/>
        <v>1</v>
      </c>
    </row>
    <row r="132" spans="1:11" x14ac:dyDescent="0.25">
      <c r="B132" s="227"/>
    </row>
  </sheetData>
  <sheetProtection algorithmName="SHA-512" hashValue="L9L+PlFdkVnAkCSTTsnY5MjFnBI5IGY6Qh8ImuIe+6gqgZ+8EQapZMriTMMye5EBd5AX95TydqyeaMyiQS0Rag==" saltValue="uGvBmaPfygMoyn9PwUkuYg=="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1"/>
  <sheetViews>
    <sheetView workbookViewId="0">
      <pane ySplit="1" topLeftCell="A118" activePane="bottomLeft" state="frozen"/>
      <selection pane="bottomLeft" activeCell="A137" sqref="A137"/>
    </sheetView>
  </sheetViews>
  <sheetFormatPr defaultRowHeight="15" x14ac:dyDescent="0.25"/>
  <cols>
    <col min="1" max="1" width="28.28515625" customWidth="1"/>
    <col min="2" max="2" width="16" customWidth="1"/>
  </cols>
  <sheetData>
    <row r="1" spans="1:2" ht="45" x14ac:dyDescent="0.25">
      <c r="A1" s="20" t="s">
        <v>0</v>
      </c>
      <c r="B1" s="20" t="s">
        <v>66</v>
      </c>
    </row>
    <row r="2" spans="1:2" x14ac:dyDescent="0.25">
      <c r="A2" s="14">
        <v>41579</v>
      </c>
      <c r="B2" s="98">
        <v>3.9271E-2</v>
      </c>
    </row>
    <row r="3" spans="1:2" x14ac:dyDescent="0.25">
      <c r="A3" s="14">
        <v>41609</v>
      </c>
      <c r="B3" s="98">
        <v>3.8972E-2</v>
      </c>
    </row>
    <row r="4" spans="1:2" x14ac:dyDescent="0.25">
      <c r="A4" s="14">
        <v>41640</v>
      </c>
      <c r="B4" s="98">
        <v>3.8156000000000002E-2</v>
      </c>
    </row>
    <row r="5" spans="1:2" x14ac:dyDescent="0.25">
      <c r="A5" s="14">
        <v>41671</v>
      </c>
      <c r="B5" s="98">
        <v>3.8137999999999998E-2</v>
      </c>
    </row>
    <row r="6" spans="1:2" x14ac:dyDescent="0.25">
      <c r="A6" s="14">
        <v>41699</v>
      </c>
      <c r="B6" s="98">
        <v>3.8086000000000002E-2</v>
      </c>
    </row>
    <row r="7" spans="1:2" x14ac:dyDescent="0.25">
      <c r="A7" s="14">
        <v>41730</v>
      </c>
      <c r="B7" s="98">
        <v>3.7533999999999998E-2</v>
      </c>
    </row>
    <row r="8" spans="1:2" x14ac:dyDescent="0.25">
      <c r="A8" s="14">
        <v>41760</v>
      </c>
      <c r="B8" s="98">
        <v>3.6961000000000001E-2</v>
      </c>
    </row>
    <row r="9" spans="1:2" x14ac:dyDescent="0.25">
      <c r="A9" s="14">
        <v>41791</v>
      </c>
      <c r="B9" s="98">
        <v>3.6642000000000001E-2</v>
      </c>
    </row>
    <row r="10" spans="1:2" x14ac:dyDescent="0.25">
      <c r="A10" s="14">
        <v>41821</v>
      </c>
      <c r="B10" s="98">
        <v>3.6463000000000002E-2</v>
      </c>
    </row>
    <row r="11" spans="1:2" x14ac:dyDescent="0.25">
      <c r="A11" s="14">
        <v>41852</v>
      </c>
      <c r="B11" s="98">
        <v>3.6629000000000002E-2</v>
      </c>
    </row>
    <row r="12" spans="1:2" x14ac:dyDescent="0.25">
      <c r="A12" s="14">
        <v>41883</v>
      </c>
      <c r="B12" s="98">
        <v>3.7984999999999998E-2</v>
      </c>
    </row>
    <row r="13" spans="1:2" x14ac:dyDescent="0.25">
      <c r="A13" s="14">
        <v>41913</v>
      </c>
      <c r="B13" s="98">
        <v>3.8191000000000003E-2</v>
      </c>
    </row>
    <row r="14" spans="1:2" x14ac:dyDescent="0.25">
      <c r="A14" s="14">
        <v>41944</v>
      </c>
      <c r="B14" s="98">
        <v>3.8389E-2</v>
      </c>
    </row>
    <row r="15" spans="1:2" x14ac:dyDescent="0.25">
      <c r="A15" s="14">
        <v>41974</v>
      </c>
      <c r="B15" s="98">
        <v>3.8198999999999997E-2</v>
      </c>
    </row>
    <row r="16" spans="1:2" x14ac:dyDescent="0.25">
      <c r="A16" s="14">
        <v>42005</v>
      </c>
      <c r="B16" s="98">
        <v>3.7596999999999998E-2</v>
      </c>
    </row>
    <row r="17" spans="1:2" x14ac:dyDescent="0.25">
      <c r="A17" s="14">
        <v>42036</v>
      </c>
      <c r="B17" s="98">
        <v>3.6916999999999998E-2</v>
      </c>
    </row>
    <row r="18" spans="1:2" x14ac:dyDescent="0.25">
      <c r="A18" s="14">
        <v>42064</v>
      </c>
      <c r="B18" s="98">
        <v>3.7019000000000003E-2</v>
      </c>
    </row>
    <row r="19" spans="1:2" x14ac:dyDescent="0.25">
      <c r="A19" s="14">
        <v>42095</v>
      </c>
      <c r="B19" s="98">
        <v>3.7094000000000002E-2</v>
      </c>
    </row>
    <row r="20" spans="1:2" x14ac:dyDescent="0.25">
      <c r="A20" s="14">
        <v>42125</v>
      </c>
      <c r="B20" s="98">
        <v>3.6919E-2</v>
      </c>
    </row>
    <row r="21" spans="1:2" x14ac:dyDescent="0.25">
      <c r="A21" s="14">
        <v>42156</v>
      </c>
      <c r="B21" s="98">
        <v>3.6407000000000002E-2</v>
      </c>
    </row>
    <row r="22" spans="1:2" x14ac:dyDescent="0.25">
      <c r="A22" s="14">
        <v>42186</v>
      </c>
      <c r="B22" s="98">
        <v>3.6199000000000002E-2</v>
      </c>
    </row>
    <row r="23" spans="1:2" x14ac:dyDescent="0.25">
      <c r="A23" s="14">
        <v>42217</v>
      </c>
      <c r="B23" s="98">
        <v>3.6469000000000001E-2</v>
      </c>
    </row>
    <row r="24" spans="1:2" x14ac:dyDescent="0.25">
      <c r="A24" s="14">
        <v>42248</v>
      </c>
      <c r="B24" s="98">
        <v>3.7427000000000002E-2</v>
      </c>
    </row>
    <row r="25" spans="1:2" x14ac:dyDescent="0.25">
      <c r="A25" s="14">
        <v>42278</v>
      </c>
      <c r="B25" s="98">
        <v>3.7672999999999998E-2</v>
      </c>
    </row>
    <row r="26" spans="1:2" x14ac:dyDescent="0.25">
      <c r="A26" s="14">
        <v>42309</v>
      </c>
      <c r="B26" s="98">
        <v>3.8150000000000003E-2</v>
      </c>
    </row>
    <row r="27" spans="1:2" x14ac:dyDescent="0.25">
      <c r="A27" s="14">
        <v>42339</v>
      </c>
      <c r="B27" s="98">
        <v>3.8186999999999999E-2</v>
      </c>
    </row>
    <row r="28" spans="1:2" x14ac:dyDescent="0.25">
      <c r="A28" s="14">
        <v>42370</v>
      </c>
      <c r="B28" s="98">
        <v>3.7734999999999998E-2</v>
      </c>
    </row>
    <row r="29" spans="1:2" x14ac:dyDescent="0.25">
      <c r="A29" s="14">
        <v>42401</v>
      </c>
      <c r="B29" s="98">
        <v>3.7315000000000001E-2</v>
      </c>
    </row>
    <row r="30" spans="1:2" x14ac:dyDescent="0.25">
      <c r="A30" s="14">
        <v>42430</v>
      </c>
      <c r="B30" s="98">
        <v>3.7400999999999997E-2</v>
      </c>
    </row>
    <row r="31" spans="1:2" x14ac:dyDescent="0.25">
      <c r="A31" s="14">
        <v>42461</v>
      </c>
      <c r="B31" s="98">
        <v>3.721E-2</v>
      </c>
    </row>
    <row r="32" spans="1:2" x14ac:dyDescent="0.25">
      <c r="A32" s="14">
        <v>42491</v>
      </c>
      <c r="B32" s="98">
        <v>3.6662E-2</v>
      </c>
    </row>
    <row r="33" spans="1:2" x14ac:dyDescent="0.25">
      <c r="A33" s="14">
        <v>42522</v>
      </c>
      <c r="B33" s="98">
        <v>3.6234000000000002E-2</v>
      </c>
    </row>
    <row r="34" spans="1:2" x14ac:dyDescent="0.25">
      <c r="A34" s="14">
        <v>42552</v>
      </c>
      <c r="B34" s="98">
        <v>3.6160999999999999E-2</v>
      </c>
    </row>
    <row r="35" spans="1:2" x14ac:dyDescent="0.25">
      <c r="A35" s="14">
        <v>42583</v>
      </c>
      <c r="B35" s="98">
        <v>3.6685000000000002E-2</v>
      </c>
    </row>
    <row r="36" spans="1:2" x14ac:dyDescent="0.25">
      <c r="A36" s="14">
        <v>42614</v>
      </c>
      <c r="B36" s="98">
        <v>3.7725000000000002E-2</v>
      </c>
    </row>
    <row r="37" spans="1:2" x14ac:dyDescent="0.25">
      <c r="A37" s="14">
        <v>42644</v>
      </c>
      <c r="B37" s="25">
        <v>3.8245000000000001E-2</v>
      </c>
    </row>
    <row r="38" spans="1:2" x14ac:dyDescent="0.25">
      <c r="A38" s="14">
        <v>42675</v>
      </c>
      <c r="B38" s="25">
        <v>3.8296999999999998E-2</v>
      </c>
    </row>
    <row r="39" spans="1:2" x14ac:dyDescent="0.25">
      <c r="A39" s="14">
        <v>42705</v>
      </c>
      <c r="B39" s="25">
        <v>3.8397000000000001E-2</v>
      </c>
    </row>
    <row r="40" spans="1:2" x14ac:dyDescent="0.25">
      <c r="A40" s="14">
        <v>42736</v>
      </c>
      <c r="B40" s="25">
        <v>3.7935000000000003E-2</v>
      </c>
    </row>
    <row r="41" spans="1:2" x14ac:dyDescent="0.25">
      <c r="A41" s="14">
        <v>42767</v>
      </c>
      <c r="B41" s="25">
        <v>3.7583999999999999E-2</v>
      </c>
    </row>
    <row r="42" spans="1:2" x14ac:dyDescent="0.25">
      <c r="A42" s="14">
        <v>42795</v>
      </c>
      <c r="B42" s="25">
        <v>3.7379000000000003E-2</v>
      </c>
    </row>
    <row r="43" spans="1:2" x14ac:dyDescent="0.25">
      <c r="A43" s="14">
        <v>42826</v>
      </c>
      <c r="B43" s="25">
        <v>3.7352000000000003E-2</v>
      </c>
    </row>
    <row r="44" spans="1:2" x14ac:dyDescent="0.25">
      <c r="A44" s="14">
        <v>42856</v>
      </c>
      <c r="B44" s="25">
        <v>3.7032000000000002E-2</v>
      </c>
    </row>
    <row r="45" spans="1:2" x14ac:dyDescent="0.25">
      <c r="A45" s="14">
        <v>42887</v>
      </c>
      <c r="B45" s="25">
        <v>3.6415000000000003E-2</v>
      </c>
    </row>
    <row r="46" spans="1:2" x14ac:dyDescent="0.25">
      <c r="A46" s="14">
        <v>42917</v>
      </c>
      <c r="B46" s="25">
        <v>3.6141E-2</v>
      </c>
    </row>
    <row r="47" spans="1:2" x14ac:dyDescent="0.25">
      <c r="A47" s="14">
        <v>42948</v>
      </c>
      <c r="B47" s="25">
        <v>3.6865000000000002E-2</v>
      </c>
    </row>
    <row r="48" spans="1:2" x14ac:dyDescent="0.25">
      <c r="A48" s="14">
        <v>42979</v>
      </c>
      <c r="B48" s="25">
        <v>3.7662000000000001E-2</v>
      </c>
    </row>
    <row r="49" spans="1:2" x14ac:dyDescent="0.25">
      <c r="A49" s="14">
        <v>43009</v>
      </c>
      <c r="B49" s="25">
        <v>3.8712999999999997E-2</v>
      </c>
    </row>
    <row r="50" spans="1:2" x14ac:dyDescent="0.25">
      <c r="A50" s="14">
        <v>43040</v>
      </c>
      <c r="B50" s="25">
        <v>3.8952000000000001E-2</v>
      </c>
    </row>
    <row r="51" spans="1:2" x14ac:dyDescent="0.25">
      <c r="A51" s="14">
        <v>43070</v>
      </c>
      <c r="B51" s="25">
        <v>3.8628000000000003E-2</v>
      </c>
    </row>
    <row r="52" spans="1:2" x14ac:dyDescent="0.25">
      <c r="A52" s="14">
        <v>43101</v>
      </c>
      <c r="B52" s="25">
        <v>3.8381999999999999E-2</v>
      </c>
    </row>
    <row r="53" spans="1:2" x14ac:dyDescent="0.25">
      <c r="A53" s="14">
        <v>43132</v>
      </c>
      <c r="B53" s="25">
        <v>3.8116999999999998E-2</v>
      </c>
    </row>
    <row r="54" spans="1:2" x14ac:dyDescent="0.25">
      <c r="A54" s="14">
        <v>43160</v>
      </c>
      <c r="B54" s="25">
        <v>3.8272E-2</v>
      </c>
    </row>
    <row r="55" spans="1:2" x14ac:dyDescent="0.25">
      <c r="A55" s="14">
        <v>43191</v>
      </c>
      <c r="B55" s="25">
        <v>3.8038000000000002E-2</v>
      </c>
    </row>
    <row r="56" spans="1:2" x14ac:dyDescent="0.25">
      <c r="A56" s="14">
        <v>43221</v>
      </c>
      <c r="B56" s="25">
        <v>3.7435999999999997E-2</v>
      </c>
    </row>
    <row r="57" spans="1:2" x14ac:dyDescent="0.25">
      <c r="A57" s="14">
        <v>43252</v>
      </c>
      <c r="B57" s="25">
        <v>3.6787E-2</v>
      </c>
    </row>
    <row r="58" spans="1:2" x14ac:dyDescent="0.25">
      <c r="A58" s="14">
        <v>43282</v>
      </c>
      <c r="B58" s="25">
        <v>3.6815000000000001E-2</v>
      </c>
    </row>
    <row r="59" spans="1:2" x14ac:dyDescent="0.25">
      <c r="A59" s="14">
        <v>43313</v>
      </c>
      <c r="B59" s="25">
        <v>3.7021999999999999E-2</v>
      </c>
    </row>
    <row r="60" spans="1:2" x14ac:dyDescent="0.25">
      <c r="A60" s="14">
        <v>43344</v>
      </c>
      <c r="B60" s="25">
        <v>3.8191000000000003E-2</v>
      </c>
    </row>
    <row r="61" spans="1:2" x14ac:dyDescent="0.25">
      <c r="A61" s="14">
        <v>43374</v>
      </c>
      <c r="B61" s="25">
        <v>3.9246000000000003E-2</v>
      </c>
    </row>
    <row r="62" spans="1:2" x14ac:dyDescent="0.25">
      <c r="A62" s="14">
        <v>43405</v>
      </c>
      <c r="B62" s="25">
        <v>3.9052999999999997E-2</v>
      </c>
    </row>
    <row r="63" spans="1:2" x14ac:dyDescent="0.25">
      <c r="A63" s="14">
        <v>43435</v>
      </c>
      <c r="B63" s="25">
        <v>3.8817999999999998E-2</v>
      </c>
    </row>
    <row r="64" spans="1:2" x14ac:dyDescent="0.25">
      <c r="A64" s="14">
        <v>43466</v>
      </c>
      <c r="B64" s="25">
        <v>3.8342000000000001E-2</v>
      </c>
    </row>
    <row r="65" spans="1:2" x14ac:dyDescent="0.25">
      <c r="A65" s="14">
        <v>43497</v>
      </c>
      <c r="B65" s="25">
        <v>3.8463999999999998E-2</v>
      </c>
    </row>
    <row r="66" spans="1:2" x14ac:dyDescent="0.25">
      <c r="A66" s="14">
        <v>43525</v>
      </c>
      <c r="B66" s="25">
        <v>3.8568999999999999E-2</v>
      </c>
    </row>
    <row r="67" spans="1:2" x14ac:dyDescent="0.25">
      <c r="A67" s="14">
        <v>43556</v>
      </c>
      <c r="B67" s="25">
        <v>3.7928000000000003E-2</v>
      </c>
    </row>
    <row r="68" spans="1:2" x14ac:dyDescent="0.25">
      <c r="A68" s="14">
        <v>43586</v>
      </c>
      <c r="B68" s="25">
        <v>3.7678000000000003E-2</v>
      </c>
    </row>
    <row r="69" spans="1:2" x14ac:dyDescent="0.25">
      <c r="A69" s="14">
        <v>43617</v>
      </c>
      <c r="B69" s="25">
        <v>3.6981E-2</v>
      </c>
    </row>
    <row r="70" spans="1:2" x14ac:dyDescent="0.25">
      <c r="A70" s="14">
        <v>43647</v>
      </c>
      <c r="B70" s="25">
        <v>3.6919E-2</v>
      </c>
    </row>
    <row r="71" spans="1:2" x14ac:dyDescent="0.25">
      <c r="A71" s="14">
        <v>43678</v>
      </c>
      <c r="B71" s="25">
        <v>3.7192000000000003E-2</v>
      </c>
    </row>
    <row r="72" spans="1:2" x14ac:dyDescent="0.25">
      <c r="A72" s="14">
        <v>43709</v>
      </c>
      <c r="B72" s="25">
        <v>3.8346999999999999E-2</v>
      </c>
    </row>
    <row r="73" spans="1:2" x14ac:dyDescent="0.25">
      <c r="A73" s="14">
        <v>43739</v>
      </c>
      <c r="B73" s="25">
        <v>3.9694E-2</v>
      </c>
    </row>
    <row r="74" spans="1:2" x14ac:dyDescent="0.25">
      <c r="A74" s="14">
        <v>43770</v>
      </c>
      <c r="B74" s="25">
        <v>3.9497999999999998E-2</v>
      </c>
    </row>
    <row r="75" spans="1:2" x14ac:dyDescent="0.25">
      <c r="A75" s="14">
        <v>43800</v>
      </c>
      <c r="B75" s="25">
        <v>3.9086000000000003E-2</v>
      </c>
    </row>
    <row r="76" spans="1:2" x14ac:dyDescent="0.25">
      <c r="A76" s="14">
        <v>43831</v>
      </c>
      <c r="B76" s="25">
        <v>3.8771E-2</v>
      </c>
    </row>
    <row r="77" spans="1:2" x14ac:dyDescent="0.25">
      <c r="A77" s="14">
        <v>43862</v>
      </c>
      <c r="B77" s="25">
        <v>3.866E-2</v>
      </c>
    </row>
    <row r="78" spans="1:2" x14ac:dyDescent="0.25">
      <c r="A78" s="14">
        <v>43891</v>
      </c>
      <c r="B78" s="25">
        <v>3.8552999999999997E-2</v>
      </c>
    </row>
    <row r="79" spans="1:2" x14ac:dyDescent="0.25">
      <c r="A79" s="14">
        <v>43922</v>
      </c>
      <c r="B79" s="25">
        <v>3.8244E-2</v>
      </c>
    </row>
    <row r="80" spans="1:2" x14ac:dyDescent="0.25">
      <c r="A80" s="14">
        <v>43952</v>
      </c>
      <c r="B80" s="25">
        <v>3.7574000000000003E-2</v>
      </c>
    </row>
    <row r="81" spans="1:2" x14ac:dyDescent="0.25">
      <c r="A81" s="14">
        <v>43983</v>
      </c>
      <c r="B81" s="25">
        <v>3.7144000000000003E-2</v>
      </c>
    </row>
    <row r="82" spans="1:2" x14ac:dyDescent="0.25">
      <c r="A82" s="14">
        <v>44013</v>
      </c>
      <c r="B82" s="25">
        <v>3.6516E-2</v>
      </c>
    </row>
    <row r="83" spans="1:2" x14ac:dyDescent="0.25">
      <c r="A83" s="14">
        <v>44044</v>
      </c>
      <c r="B83" s="25">
        <v>3.6880000000000003E-2</v>
      </c>
    </row>
    <row r="84" spans="1:2" x14ac:dyDescent="0.25">
      <c r="A84" s="14">
        <v>44075</v>
      </c>
      <c r="B84" s="25">
        <v>3.8349000000000001E-2</v>
      </c>
    </row>
    <row r="85" spans="1:2" x14ac:dyDescent="0.25">
      <c r="A85" s="14">
        <v>44105</v>
      </c>
      <c r="B85" s="25">
        <v>3.9593000000000003E-2</v>
      </c>
    </row>
    <row r="86" spans="1:2" x14ac:dyDescent="0.25">
      <c r="A86" s="14">
        <v>44136</v>
      </c>
      <c r="B86" s="25">
        <v>3.9933000000000003E-2</v>
      </c>
    </row>
    <row r="87" spans="1:2"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c r="B131" s="25"/>
    </row>
    <row r="132" spans="1:5" x14ac:dyDescent="0.25">
      <c r="A132" s="14"/>
      <c r="B132" s="25"/>
    </row>
    <row r="133" spans="1:5" x14ac:dyDescent="0.25">
      <c r="A133" s="14"/>
      <c r="B133" s="25"/>
    </row>
    <row r="134" spans="1:5" x14ac:dyDescent="0.25">
      <c r="A134" s="14"/>
      <c r="B134" s="25"/>
    </row>
    <row r="135" spans="1:5" x14ac:dyDescent="0.25">
      <c r="A135" s="14"/>
      <c r="B135" s="25"/>
    </row>
    <row r="136" spans="1:5" x14ac:dyDescent="0.25">
      <c r="A136" s="262"/>
      <c r="B136" s="25"/>
    </row>
    <row r="137" spans="1:5" ht="45" x14ac:dyDescent="0.25">
      <c r="A137" s="27">
        <f>Pooling_Month</f>
        <v>45536</v>
      </c>
      <c r="B137" s="20" t="s">
        <v>65</v>
      </c>
    </row>
    <row r="138" spans="1:5" x14ac:dyDescent="0.25">
      <c r="A138" s="31" t="s">
        <v>60</v>
      </c>
      <c r="B138" s="32">
        <v>3.9810000000000005E-2</v>
      </c>
    </row>
    <row r="139" spans="1:5" hidden="1" x14ac:dyDescent="0.25"/>
    <row r="140" spans="1:5" ht="14.25" hidden="1" customHeight="1" x14ac:dyDescent="0.25">
      <c r="E140" t="s">
        <v>194</v>
      </c>
    </row>
    <row r="141" spans="1:5" ht="30" hidden="1" x14ac:dyDescent="0.25">
      <c r="A141" s="40" t="s">
        <v>202</v>
      </c>
      <c r="B141" s="25">
        <f>B120-B118</f>
        <v>1.1700000000000044E-3</v>
      </c>
    </row>
    <row r="142" spans="1:5" hidden="1" x14ac:dyDescent="0.25">
      <c r="A142" s="93" t="s">
        <v>209</v>
      </c>
      <c r="B142" s="25">
        <f>B130</f>
        <v>3.8640000000000001E-2</v>
      </c>
    </row>
    <row r="143" spans="1:5" hidden="1" x14ac:dyDescent="0.25">
      <c r="A143" s="91" t="s">
        <v>203</v>
      </c>
      <c r="B143" s="25">
        <f>SUM(B141:B142)</f>
        <v>3.9810000000000005E-2</v>
      </c>
    </row>
    <row r="144" spans="1:5" hidden="1" x14ac:dyDescent="0.25">
      <c r="A144" s="92" t="s">
        <v>204</v>
      </c>
      <c r="B144" s="25">
        <f>B120</f>
        <v>3.9148000000000002E-2</v>
      </c>
    </row>
    <row r="145" spans="1:2" hidden="1" x14ac:dyDescent="0.25">
      <c r="A145" t="s">
        <v>84</v>
      </c>
      <c r="B145" s="25">
        <f>AVERAGE(B143:B144)</f>
        <v>3.9479E-2</v>
      </c>
    </row>
    <row r="146" spans="1:2" hidden="1" x14ac:dyDescent="0.25">
      <c r="B146" s="25"/>
    </row>
    <row r="147" spans="1:2" hidden="1" x14ac:dyDescent="0.25">
      <c r="A147" s="92" t="s">
        <v>205</v>
      </c>
      <c r="B147" s="25">
        <f>B108</f>
        <v>3.8096789999999998E-2</v>
      </c>
    </row>
    <row r="148" spans="1:2" hidden="1" x14ac:dyDescent="0.25">
      <c r="A148" s="91" t="s">
        <v>206</v>
      </c>
      <c r="B148" s="25">
        <f>B96</f>
        <v>3.7744E-2</v>
      </c>
    </row>
    <row r="149" spans="1:2" hidden="1" x14ac:dyDescent="0.25">
      <c r="A149" s="40" t="s">
        <v>207</v>
      </c>
      <c r="B149" s="25">
        <f>(B143+B144+B147+B148)/4</f>
        <v>3.8699697499999998E-2</v>
      </c>
    </row>
    <row r="150" spans="1:2" hidden="1" x14ac:dyDescent="0.25">
      <c r="A150" s="40" t="s">
        <v>208</v>
      </c>
      <c r="B150" s="25">
        <f>(B143+B144+B147)/3</f>
        <v>3.9018263333333331E-2</v>
      </c>
    </row>
    <row r="151" spans="1:2" x14ac:dyDescent="0.25">
      <c r="A151" s="40"/>
    </row>
  </sheetData>
  <sheetProtection algorithmName="SHA-512" hashValue="eiiELlICvXNO9YCwiYqMyoZe+npD+p0yI0aXj1h1ByFfVlOIHOo/Q4MOlDJ1VCmMXB2B1dPTMNCV7EyU2Rv2JA==" saltValue="QSLV2jkmXOfRURyKHj8ou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0"/>
  <sheetViews>
    <sheetView workbookViewId="0">
      <pane ySplit="1" topLeftCell="A118" activePane="bottomLeft" state="frozen"/>
      <selection pane="bottomLeft" activeCell="E134" sqref="E134"/>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x14ac:dyDescent="0.25">
      <c r="A2" s="14">
        <v>41579</v>
      </c>
      <c r="B2" s="21">
        <v>749309</v>
      </c>
    </row>
    <row r="3" spans="1:2" x14ac:dyDescent="0.25">
      <c r="A3" s="14">
        <v>41609</v>
      </c>
      <c r="B3" s="21">
        <v>774843</v>
      </c>
    </row>
    <row r="4" spans="1:2" x14ac:dyDescent="0.25">
      <c r="A4" s="14">
        <v>41640</v>
      </c>
      <c r="B4" s="21">
        <v>793976</v>
      </c>
    </row>
    <row r="5" spans="1:2" x14ac:dyDescent="0.25">
      <c r="A5" s="14">
        <v>41671</v>
      </c>
      <c r="B5" s="21">
        <v>794040</v>
      </c>
    </row>
    <row r="6" spans="1:2" x14ac:dyDescent="0.25">
      <c r="A6" s="14">
        <v>41699</v>
      </c>
      <c r="B6" s="21">
        <v>790678</v>
      </c>
    </row>
    <row r="7" spans="1:2" x14ac:dyDescent="0.25">
      <c r="A7" s="14">
        <v>41730</v>
      </c>
      <c r="B7" s="21">
        <v>797581</v>
      </c>
    </row>
    <row r="8" spans="1:2" x14ac:dyDescent="0.25">
      <c r="A8" s="14">
        <v>41760</v>
      </c>
      <c r="B8" s="21">
        <v>812583</v>
      </c>
    </row>
    <row r="9" spans="1:2" x14ac:dyDescent="0.25">
      <c r="A9" s="14">
        <v>41791</v>
      </c>
      <c r="B9" s="21">
        <v>826830</v>
      </c>
    </row>
    <row r="10" spans="1:2" x14ac:dyDescent="0.25">
      <c r="A10" s="14">
        <v>41821</v>
      </c>
      <c r="B10" s="21">
        <v>812345</v>
      </c>
    </row>
    <row r="11" spans="1:2" x14ac:dyDescent="0.25">
      <c r="A11" s="14">
        <v>41852</v>
      </c>
      <c r="B11" s="21">
        <v>799319</v>
      </c>
    </row>
    <row r="12" spans="1:2" x14ac:dyDescent="0.25">
      <c r="A12" s="14">
        <v>41883</v>
      </c>
      <c r="B12" s="21">
        <v>785171</v>
      </c>
    </row>
    <row r="13" spans="1:2" x14ac:dyDescent="0.25">
      <c r="A13" s="14">
        <v>41913</v>
      </c>
      <c r="B13" s="21">
        <v>778469</v>
      </c>
    </row>
    <row r="14" spans="1:2" x14ac:dyDescent="0.25">
      <c r="A14" s="14">
        <v>41944</v>
      </c>
      <c r="B14" s="21">
        <v>778087</v>
      </c>
    </row>
    <row r="15" spans="1:2" x14ac:dyDescent="0.25">
      <c r="A15" s="14">
        <v>41974</v>
      </c>
      <c r="B15" s="21">
        <v>789977</v>
      </c>
    </row>
    <row r="16" spans="1:2" x14ac:dyDescent="0.25">
      <c r="A16" s="14">
        <v>42005</v>
      </c>
      <c r="B16" s="21">
        <v>800922</v>
      </c>
    </row>
    <row r="17" spans="1:2" x14ac:dyDescent="0.25">
      <c r="A17" s="14">
        <v>42036</v>
      </c>
      <c r="B17" s="21">
        <v>804682</v>
      </c>
    </row>
    <row r="18" spans="1:2" x14ac:dyDescent="0.25">
      <c r="A18" s="14">
        <v>42064</v>
      </c>
      <c r="B18" s="21">
        <v>816331</v>
      </c>
    </row>
    <row r="19" spans="1:2" x14ac:dyDescent="0.25">
      <c r="A19" s="14">
        <v>42095</v>
      </c>
      <c r="B19" s="21">
        <v>815868</v>
      </c>
    </row>
    <row r="20" spans="1:2" x14ac:dyDescent="0.25">
      <c r="A20" s="14">
        <v>42125</v>
      </c>
      <c r="B20" s="21">
        <v>820339</v>
      </c>
    </row>
    <row r="21" spans="1:2" x14ac:dyDescent="0.25">
      <c r="A21" s="14">
        <v>42156</v>
      </c>
      <c r="B21" s="21">
        <v>820212</v>
      </c>
    </row>
    <row r="22" spans="1:2" x14ac:dyDescent="0.25">
      <c r="A22" s="14">
        <v>42186</v>
      </c>
      <c r="B22" s="21">
        <v>795054</v>
      </c>
    </row>
    <row r="23" spans="1:2" x14ac:dyDescent="0.25">
      <c r="A23" s="14">
        <v>42217</v>
      </c>
      <c r="B23" s="21">
        <v>780239</v>
      </c>
    </row>
    <row r="24" spans="1:2" x14ac:dyDescent="0.25">
      <c r="A24" s="14">
        <v>42248</v>
      </c>
      <c r="B24" s="21">
        <v>762097</v>
      </c>
    </row>
    <row r="25" spans="1:2" x14ac:dyDescent="0.25">
      <c r="A25" s="14">
        <v>42278</v>
      </c>
      <c r="B25" s="21">
        <v>761254</v>
      </c>
    </row>
    <row r="26" spans="1:2" x14ac:dyDescent="0.25">
      <c r="A26" s="14">
        <v>42309</v>
      </c>
      <c r="B26" s="21">
        <v>761645</v>
      </c>
    </row>
    <row r="27" spans="1:2" x14ac:dyDescent="0.25">
      <c r="A27" s="14">
        <v>42339</v>
      </c>
      <c r="B27" s="21">
        <v>786896</v>
      </c>
    </row>
    <row r="28" spans="1:2" x14ac:dyDescent="0.25">
      <c r="A28" s="14">
        <v>42370</v>
      </c>
      <c r="B28" s="21">
        <v>793935</v>
      </c>
    </row>
    <row r="29" spans="1:2" x14ac:dyDescent="0.25">
      <c r="A29" s="14">
        <v>42401</v>
      </c>
      <c r="B29" s="21">
        <v>799702</v>
      </c>
    </row>
    <row r="30" spans="1:2" x14ac:dyDescent="0.25">
      <c r="A30" s="14">
        <v>42430</v>
      </c>
      <c r="B30" s="21">
        <v>790813</v>
      </c>
    </row>
    <row r="31" spans="1:2" x14ac:dyDescent="0.25">
      <c r="A31" s="14">
        <v>42461</v>
      </c>
      <c r="B31" s="21">
        <v>792531</v>
      </c>
    </row>
    <row r="32" spans="1:2" x14ac:dyDescent="0.25">
      <c r="A32" s="14">
        <v>42491</v>
      </c>
      <c r="B32" s="21">
        <v>802963</v>
      </c>
    </row>
    <row r="33" spans="1:2" x14ac:dyDescent="0.25">
      <c r="A33" s="14">
        <v>42522</v>
      </c>
      <c r="B33" s="21">
        <v>797473</v>
      </c>
    </row>
    <row r="34" spans="1:2" x14ac:dyDescent="0.25">
      <c r="A34" s="14">
        <v>42552</v>
      </c>
      <c r="B34" s="21">
        <v>792802</v>
      </c>
    </row>
    <row r="35" spans="1:2" x14ac:dyDescent="0.25">
      <c r="A35" s="14">
        <v>42583</v>
      </c>
      <c r="B35" s="21">
        <v>785963</v>
      </c>
    </row>
    <row r="36" spans="1:2" x14ac:dyDescent="0.25">
      <c r="A36" s="14">
        <v>42614</v>
      </c>
      <c r="B36" s="21">
        <v>762210</v>
      </c>
    </row>
    <row r="37" spans="1:2" x14ac:dyDescent="0.25">
      <c r="A37" s="14">
        <v>42644</v>
      </c>
      <c r="B37" s="21">
        <v>747401</v>
      </c>
    </row>
    <row r="38" spans="1:2" x14ac:dyDescent="0.25">
      <c r="A38" s="14">
        <v>42675</v>
      </c>
      <c r="B38" s="21">
        <v>755269</v>
      </c>
    </row>
    <row r="39" spans="1:2" x14ac:dyDescent="0.25">
      <c r="A39" s="14">
        <v>42705</v>
      </c>
      <c r="B39" s="21">
        <v>761780</v>
      </c>
    </row>
    <row r="40" spans="1:2" x14ac:dyDescent="0.25">
      <c r="A40" s="14">
        <v>42736</v>
      </c>
      <c r="B40" s="21">
        <v>762667</v>
      </c>
    </row>
    <row r="41" spans="1:2" x14ac:dyDescent="0.25">
      <c r="A41" s="14">
        <v>42767</v>
      </c>
      <c r="B41" s="21">
        <v>763258</v>
      </c>
    </row>
    <row r="42" spans="1:2" x14ac:dyDescent="0.25">
      <c r="A42" s="14">
        <v>42795</v>
      </c>
      <c r="B42" s="21">
        <v>763262</v>
      </c>
    </row>
    <row r="43" spans="1:2" x14ac:dyDescent="0.25">
      <c r="A43" s="14">
        <v>42826</v>
      </c>
      <c r="B43" s="21">
        <v>766764</v>
      </c>
    </row>
    <row r="44" spans="1:2" x14ac:dyDescent="0.25">
      <c r="A44" s="14">
        <v>42856</v>
      </c>
      <c r="B44" s="21">
        <v>779610</v>
      </c>
    </row>
    <row r="45" spans="1:2" x14ac:dyDescent="0.25">
      <c r="A45" s="14">
        <v>42887</v>
      </c>
      <c r="B45" s="21">
        <v>782889</v>
      </c>
    </row>
    <row r="46" spans="1:2" x14ac:dyDescent="0.25">
      <c r="A46" s="14">
        <v>42917</v>
      </c>
      <c r="B46" s="21">
        <v>779199</v>
      </c>
    </row>
    <row r="47" spans="1:2" x14ac:dyDescent="0.25">
      <c r="A47" s="14">
        <v>42948</v>
      </c>
      <c r="B47" s="21">
        <v>774733</v>
      </c>
    </row>
    <row r="48" spans="1:2" x14ac:dyDescent="0.25">
      <c r="A48" s="14">
        <v>42979</v>
      </c>
      <c r="B48" s="21">
        <v>759650</v>
      </c>
    </row>
    <row r="49" spans="1:2" x14ac:dyDescent="0.25">
      <c r="A49" s="14">
        <v>43009</v>
      </c>
      <c r="B49" s="21">
        <v>743257</v>
      </c>
    </row>
    <row r="50" spans="1:2" x14ac:dyDescent="0.25">
      <c r="A50" s="14">
        <v>43040</v>
      </c>
      <c r="B50" s="21">
        <v>743015</v>
      </c>
    </row>
    <row r="51" spans="1:2" x14ac:dyDescent="0.25">
      <c r="A51" s="14">
        <v>43070</v>
      </c>
      <c r="B51" s="21">
        <v>750907</v>
      </c>
    </row>
    <row r="52" spans="1:2" x14ac:dyDescent="0.25">
      <c r="A52" s="14">
        <v>43101</v>
      </c>
      <c r="B52" s="21">
        <v>773205</v>
      </c>
    </row>
    <row r="53" spans="1:2" x14ac:dyDescent="0.25">
      <c r="A53" s="14">
        <v>43132</v>
      </c>
      <c r="B53" s="21">
        <v>758123</v>
      </c>
    </row>
    <row r="54" spans="1:2" x14ac:dyDescent="0.25">
      <c r="A54" s="14">
        <v>43160</v>
      </c>
      <c r="B54" s="21">
        <v>744371</v>
      </c>
    </row>
    <row r="55" spans="1:2" x14ac:dyDescent="0.25">
      <c r="A55" s="14">
        <v>43191</v>
      </c>
      <c r="B55" s="21">
        <v>748937</v>
      </c>
    </row>
    <row r="56" spans="1:2" x14ac:dyDescent="0.25">
      <c r="A56" s="14">
        <v>43221</v>
      </c>
      <c r="B56" s="21">
        <v>747959</v>
      </c>
    </row>
    <row r="57" spans="1:2" x14ac:dyDescent="0.25">
      <c r="A57" s="14">
        <v>43252</v>
      </c>
      <c r="B57" s="21">
        <v>758473</v>
      </c>
    </row>
    <row r="58" spans="1:2" x14ac:dyDescent="0.25">
      <c r="A58" s="14">
        <v>43282</v>
      </c>
      <c r="B58" s="21">
        <v>747016</v>
      </c>
    </row>
    <row r="59" spans="1:2" x14ac:dyDescent="0.25">
      <c r="A59" s="14">
        <v>43313</v>
      </c>
      <c r="B59" s="21">
        <v>739182</v>
      </c>
    </row>
    <row r="60" spans="1:2" x14ac:dyDescent="0.25">
      <c r="A60" s="14">
        <v>43344</v>
      </c>
      <c r="B60" s="21">
        <v>693435</v>
      </c>
    </row>
    <row r="61" spans="1:2" x14ac:dyDescent="0.25">
      <c r="A61" s="14">
        <v>43374</v>
      </c>
      <c r="B61" s="21">
        <v>675235</v>
      </c>
    </row>
    <row r="62" spans="1:2" x14ac:dyDescent="0.25">
      <c r="A62" s="14">
        <v>43405</v>
      </c>
      <c r="B62" s="21">
        <v>668849</v>
      </c>
    </row>
    <row r="63" spans="1:2" x14ac:dyDescent="0.25">
      <c r="A63" s="14">
        <v>43435</v>
      </c>
      <c r="B63" s="21">
        <v>687987</v>
      </c>
    </row>
    <row r="64" spans="1:2" x14ac:dyDescent="0.25">
      <c r="A64" s="14">
        <v>43466</v>
      </c>
      <c r="B64" s="21">
        <v>696400</v>
      </c>
    </row>
    <row r="65" spans="1:2" x14ac:dyDescent="0.25">
      <c r="A65" s="14">
        <v>43497</v>
      </c>
      <c r="B65" s="21">
        <v>698934</v>
      </c>
    </row>
    <row r="66" spans="1:2" x14ac:dyDescent="0.25">
      <c r="A66" s="14">
        <v>43525</v>
      </c>
      <c r="B66" s="21">
        <v>683484</v>
      </c>
    </row>
    <row r="67" spans="1:2" x14ac:dyDescent="0.25">
      <c r="A67" s="14">
        <v>43556</v>
      </c>
      <c r="B67" s="21">
        <v>691729</v>
      </c>
    </row>
    <row r="68" spans="1:2" x14ac:dyDescent="0.25">
      <c r="A68" s="14">
        <v>43586</v>
      </c>
      <c r="B68" s="21">
        <v>695560</v>
      </c>
    </row>
    <row r="69" spans="1:2" x14ac:dyDescent="0.25">
      <c r="A69" s="14">
        <v>43617</v>
      </c>
      <c r="B69" s="21">
        <v>706529</v>
      </c>
    </row>
    <row r="70" spans="1:2" x14ac:dyDescent="0.25">
      <c r="A70" s="14">
        <v>43647</v>
      </c>
      <c r="B70" s="21">
        <v>707535</v>
      </c>
    </row>
    <row r="71" spans="1:2" x14ac:dyDescent="0.25">
      <c r="A71" s="14">
        <v>43678</v>
      </c>
      <c r="B71" s="21">
        <v>689232</v>
      </c>
    </row>
    <row r="72" spans="1:2" x14ac:dyDescent="0.25">
      <c r="A72" s="14">
        <v>43709</v>
      </c>
      <c r="B72" s="21">
        <v>676709</v>
      </c>
    </row>
    <row r="73" spans="1:2" x14ac:dyDescent="0.25">
      <c r="A73" s="14">
        <v>43739</v>
      </c>
      <c r="B73" s="21">
        <v>676034</v>
      </c>
    </row>
    <row r="74" spans="1:2" x14ac:dyDescent="0.25">
      <c r="A74" s="14">
        <v>43770</v>
      </c>
      <c r="B74" s="21">
        <v>671985</v>
      </c>
    </row>
    <row r="75" spans="1:2" x14ac:dyDescent="0.25">
      <c r="A75" s="14">
        <v>43800</v>
      </c>
      <c r="B75" s="21">
        <v>675685</v>
      </c>
    </row>
    <row r="76" spans="1:2" x14ac:dyDescent="0.25">
      <c r="A76" s="14">
        <v>43831</v>
      </c>
      <c r="B76" s="21">
        <v>683897</v>
      </c>
    </row>
    <row r="77" spans="1:2" x14ac:dyDescent="0.25">
      <c r="A77" s="14">
        <v>43862</v>
      </c>
      <c r="B77" s="21">
        <v>677438</v>
      </c>
    </row>
    <row r="78" spans="1:2" x14ac:dyDescent="0.25">
      <c r="A78" s="14">
        <v>43891</v>
      </c>
      <c r="B78" s="21">
        <v>676377</v>
      </c>
    </row>
    <row r="79" spans="1:2" x14ac:dyDescent="0.25">
      <c r="A79" s="14">
        <v>43922</v>
      </c>
      <c r="B79" s="21">
        <v>674618</v>
      </c>
    </row>
    <row r="80" spans="1:2" x14ac:dyDescent="0.25">
      <c r="A80" s="14">
        <v>43952</v>
      </c>
      <c r="B80" s="21">
        <v>681583</v>
      </c>
    </row>
    <row r="81" spans="1:2" x14ac:dyDescent="0.25">
      <c r="A81" s="14">
        <v>43983</v>
      </c>
      <c r="B81" s="21">
        <v>682114</v>
      </c>
    </row>
    <row r="82" spans="1:2" x14ac:dyDescent="0.25">
      <c r="A82" s="14">
        <v>44013</v>
      </c>
      <c r="B82" s="21">
        <v>685465</v>
      </c>
    </row>
    <row r="83" spans="1:2" x14ac:dyDescent="0.25">
      <c r="A83" s="14">
        <v>44044</v>
      </c>
      <c r="B83" s="21">
        <v>671408</v>
      </c>
    </row>
    <row r="84" spans="1:2" x14ac:dyDescent="0.25">
      <c r="A84" s="14">
        <v>44075</v>
      </c>
      <c r="B84" s="21">
        <v>664812</v>
      </c>
    </row>
    <row r="85" spans="1:2" x14ac:dyDescent="0.25">
      <c r="A85" s="14">
        <v>44105</v>
      </c>
      <c r="B85" s="21">
        <v>650802</v>
      </c>
    </row>
    <row r="86" spans="1:2" x14ac:dyDescent="0.25">
      <c r="A86" s="14">
        <v>44136</v>
      </c>
      <c r="B86" s="21">
        <v>651769</v>
      </c>
    </row>
    <row r="87" spans="1:2"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4" x14ac:dyDescent="0.25">
      <c r="A129" s="14">
        <v>45444</v>
      </c>
      <c r="B129" s="21">
        <v>529125</v>
      </c>
    </row>
    <row r="130" spans="1:4" x14ac:dyDescent="0.25">
      <c r="A130" s="14">
        <v>45474</v>
      </c>
      <c r="B130" s="21">
        <v>527724</v>
      </c>
    </row>
    <row r="131" spans="1:4" x14ac:dyDescent="0.25">
      <c r="A131" s="14"/>
      <c r="B131" s="21"/>
    </row>
    <row r="132" spans="1:4" x14ac:dyDescent="0.25">
      <c r="A132" s="14"/>
      <c r="B132" s="21"/>
    </row>
    <row r="133" spans="1:4" x14ac:dyDescent="0.25">
      <c r="A133" s="14"/>
      <c r="B133" s="21"/>
    </row>
    <row r="134" spans="1:4" x14ac:dyDescent="0.25">
      <c r="A134" s="14"/>
      <c r="B134" s="21"/>
    </row>
    <row r="135" spans="1:4" x14ac:dyDescent="0.25">
      <c r="A135" s="14"/>
      <c r="B135" s="21"/>
    </row>
    <row r="136" spans="1:4" x14ac:dyDescent="0.25">
      <c r="A136" s="14"/>
      <c r="B136" s="21"/>
    </row>
    <row r="137" spans="1:4" ht="45" x14ac:dyDescent="0.25">
      <c r="A137" s="27">
        <f>Pooling_Month</f>
        <v>45536</v>
      </c>
      <c r="B137" s="20" t="s">
        <v>67</v>
      </c>
    </row>
    <row r="138" spans="1:4" x14ac:dyDescent="0.25">
      <c r="A138" s="31" t="s">
        <v>60</v>
      </c>
      <c r="B138" s="33">
        <v>498060</v>
      </c>
    </row>
    <row r="139" spans="1:4" ht="15.75" customHeight="1" x14ac:dyDescent="0.25"/>
    <row r="140" spans="1:4" hidden="1" x14ac:dyDescent="0.25"/>
    <row r="141" spans="1:4" ht="30" hidden="1" x14ac:dyDescent="0.25">
      <c r="A141" s="40" t="s">
        <v>202</v>
      </c>
      <c r="B141" s="217">
        <f>B120-B118</f>
        <v>-29664</v>
      </c>
      <c r="D141" t="s">
        <v>192</v>
      </c>
    </row>
    <row r="142" spans="1:4" hidden="1" x14ac:dyDescent="0.25">
      <c r="A142" s="93" t="s">
        <v>209</v>
      </c>
      <c r="B142" s="94">
        <f>B130</f>
        <v>527724</v>
      </c>
    </row>
    <row r="143" spans="1:4" hidden="1" x14ac:dyDescent="0.25">
      <c r="A143" s="91" t="s">
        <v>203</v>
      </c>
      <c r="B143" s="94">
        <f>SUM(B141:B142)</f>
        <v>498060</v>
      </c>
      <c r="C143" s="101"/>
      <c r="D143" s="101"/>
    </row>
    <row r="144" spans="1:4" hidden="1" x14ac:dyDescent="0.25">
      <c r="A144" s="92" t="s">
        <v>204</v>
      </c>
      <c r="B144" s="94">
        <f>B120</f>
        <v>536591</v>
      </c>
      <c r="C144" s="101"/>
      <c r="D144" s="101"/>
    </row>
    <row r="145" spans="1:6" hidden="1" x14ac:dyDescent="0.25">
      <c r="A145" t="s">
        <v>84</v>
      </c>
      <c r="B145" s="94">
        <f>AVERAGE(B143:B144)</f>
        <v>517325.5</v>
      </c>
      <c r="D145" s="101"/>
    </row>
    <row r="146" spans="1:6" hidden="1" x14ac:dyDescent="0.25">
      <c r="D146" s="101"/>
    </row>
    <row r="147" spans="1:6" x14ac:dyDescent="0.25">
      <c r="A147" s="92"/>
      <c r="D147" s="101"/>
      <c r="E147" s="94"/>
      <c r="F147" s="94"/>
    </row>
    <row r="148" spans="1:6" x14ac:dyDescent="0.25">
      <c r="A148" s="91"/>
    </row>
    <row r="149" spans="1:6" x14ac:dyDescent="0.25">
      <c r="A149" s="40"/>
    </row>
    <row r="150" spans="1:6" x14ac:dyDescent="0.25">
      <c r="A150" s="40"/>
    </row>
  </sheetData>
  <sheetProtection algorithmName="SHA-512" hashValue="8g0nyFwVKGOJTJyElCTpsaNeygU8UjEe3e37wfdIxcrSUBIxdYQU7oFzK9/oulLfpD9lk4JeOyAerAG7t6zCBA==" saltValue="NrjGfDTjCxYEUNW8ZVgYlQ=="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59"/>
  <sheetViews>
    <sheetView workbookViewId="0">
      <pane ySplit="1" topLeftCell="A126" activePane="bottomLeft" state="frozen"/>
      <selection pane="bottomLeft" activeCell="A140" sqref="A140:XFD148"/>
    </sheetView>
  </sheetViews>
  <sheetFormatPr defaultRowHeight="15" x14ac:dyDescent="0.25"/>
  <cols>
    <col min="1" max="1" width="26.28515625" customWidth="1"/>
    <col min="2" max="2" width="16.140625" customWidth="1"/>
  </cols>
  <sheetData>
    <row r="1" spans="1:2" ht="60" x14ac:dyDescent="0.25">
      <c r="A1" s="20" t="s">
        <v>0</v>
      </c>
      <c r="B1" s="29" t="s">
        <v>70</v>
      </c>
    </row>
    <row r="2" spans="1:2" x14ac:dyDescent="0.25">
      <c r="A2" s="14">
        <v>41579</v>
      </c>
      <c r="B2" s="25">
        <v>3.5638999999999997E-2</v>
      </c>
    </row>
    <row r="3" spans="1:2" x14ac:dyDescent="0.25">
      <c r="A3" s="14">
        <v>41609</v>
      </c>
      <c r="B3" s="25">
        <v>4.394E-2</v>
      </c>
    </row>
    <row r="4" spans="1:2" x14ac:dyDescent="0.25">
      <c r="A4" s="14">
        <v>41640</v>
      </c>
      <c r="B4" s="25">
        <v>5.9451999999999998E-2</v>
      </c>
    </row>
    <row r="5" spans="1:2" x14ac:dyDescent="0.25">
      <c r="A5" s="14">
        <v>41671</v>
      </c>
      <c r="B5" s="25">
        <v>5.6061E-2</v>
      </c>
    </row>
    <row r="6" spans="1:2" x14ac:dyDescent="0.25">
      <c r="A6" s="14">
        <v>41699</v>
      </c>
      <c r="B6" s="25">
        <v>5.2576999999999999E-2</v>
      </c>
    </row>
    <row r="7" spans="1:2" x14ac:dyDescent="0.25">
      <c r="A7" s="14">
        <v>41730</v>
      </c>
      <c r="B7" s="25">
        <v>5.5563000000000001E-2</v>
      </c>
    </row>
    <row r="8" spans="1:2" x14ac:dyDescent="0.25">
      <c r="A8" s="14">
        <v>41760</v>
      </c>
      <c r="B8" s="25">
        <v>6.6798999999999997E-2</v>
      </c>
    </row>
    <row r="9" spans="1:2" x14ac:dyDescent="0.25">
      <c r="A9" s="14">
        <v>41791</v>
      </c>
      <c r="B9" s="25">
        <v>7.8812999999999994E-2</v>
      </c>
    </row>
    <row r="10" spans="1:2" x14ac:dyDescent="0.25">
      <c r="A10" s="14">
        <v>41821</v>
      </c>
      <c r="B10" s="25">
        <v>7.2008000000000003E-2</v>
      </c>
    </row>
    <row r="11" spans="1:2" x14ac:dyDescent="0.25">
      <c r="A11" s="14">
        <v>41852</v>
      </c>
      <c r="B11" s="25">
        <v>6.5037999999999999E-2</v>
      </c>
    </row>
    <row r="12" spans="1:2" x14ac:dyDescent="0.25">
      <c r="A12" s="14">
        <v>41883</v>
      </c>
      <c r="B12" s="25">
        <v>5.4698999999999998E-2</v>
      </c>
    </row>
    <row r="13" spans="1:2" x14ac:dyDescent="0.25">
      <c r="A13" s="14">
        <v>41913</v>
      </c>
      <c r="B13" s="25">
        <v>5.6087999999999999E-2</v>
      </c>
    </row>
    <row r="14" spans="1:2" x14ac:dyDescent="0.25">
      <c r="A14" s="14">
        <v>41944</v>
      </c>
      <c r="B14" s="25">
        <v>4.5608999999999997E-2</v>
      </c>
    </row>
    <row r="15" spans="1:2" x14ac:dyDescent="0.25">
      <c r="A15" s="14">
        <v>41974</v>
      </c>
      <c r="B15" s="25">
        <v>5.2464999999999998E-2</v>
      </c>
    </row>
    <row r="16" spans="1:2" x14ac:dyDescent="0.25">
      <c r="A16" s="14">
        <v>42005</v>
      </c>
      <c r="B16" s="25">
        <v>6.0063999999999999E-2</v>
      </c>
    </row>
    <row r="17" spans="1:2" x14ac:dyDescent="0.25">
      <c r="A17" s="14">
        <v>42036</v>
      </c>
      <c r="B17" s="25">
        <v>6.1749999999999999E-2</v>
      </c>
    </row>
    <row r="18" spans="1:2" x14ac:dyDescent="0.25">
      <c r="A18" s="14">
        <v>42064</v>
      </c>
      <c r="B18" s="25">
        <v>5.5175000000000002E-2</v>
      </c>
    </row>
    <row r="19" spans="1:2" x14ac:dyDescent="0.25">
      <c r="A19" s="14">
        <v>42095</v>
      </c>
      <c r="B19" s="25">
        <v>6.6474000000000005E-2</v>
      </c>
    </row>
    <row r="20" spans="1:2" x14ac:dyDescent="0.25">
      <c r="A20" s="14">
        <v>42125</v>
      </c>
      <c r="B20" s="25">
        <v>7.3679999999999995E-2</v>
      </c>
    </row>
    <row r="21" spans="1:2" x14ac:dyDescent="0.25">
      <c r="A21" s="14">
        <v>42156</v>
      </c>
      <c r="B21" s="25">
        <v>7.2096999999999994E-2</v>
      </c>
    </row>
    <row r="22" spans="1:2" x14ac:dyDescent="0.25">
      <c r="A22" s="14">
        <v>42186</v>
      </c>
      <c r="B22" s="25">
        <v>5.8506000000000002E-2</v>
      </c>
    </row>
    <row r="23" spans="1:2" x14ac:dyDescent="0.25">
      <c r="A23" s="14">
        <v>42217</v>
      </c>
      <c r="B23" s="25">
        <v>5.2084999999999999E-2</v>
      </c>
    </row>
    <row r="24" spans="1:2" x14ac:dyDescent="0.25">
      <c r="A24" s="14">
        <v>42248</v>
      </c>
      <c r="B24" s="25">
        <v>4.2168999999999998E-2</v>
      </c>
    </row>
    <row r="25" spans="1:2" x14ac:dyDescent="0.25">
      <c r="A25" s="14">
        <v>42278</v>
      </c>
      <c r="B25" s="25">
        <v>4.4915999999999998E-2</v>
      </c>
    </row>
    <row r="26" spans="1:2" x14ac:dyDescent="0.25">
      <c r="A26" s="14">
        <v>42309</v>
      </c>
      <c r="B26" s="25">
        <v>4.7728E-2</v>
      </c>
    </row>
    <row r="27" spans="1:2" x14ac:dyDescent="0.25">
      <c r="A27" s="14">
        <v>42339</v>
      </c>
      <c r="B27" s="25">
        <v>5.6321999999999997E-2</v>
      </c>
    </row>
    <row r="28" spans="1:2" x14ac:dyDescent="0.25">
      <c r="A28" s="14">
        <v>42370</v>
      </c>
      <c r="B28" s="25">
        <v>5.1228000000000003E-2</v>
      </c>
    </row>
    <row r="29" spans="1:2" x14ac:dyDescent="0.25">
      <c r="A29" s="14">
        <v>42401</v>
      </c>
      <c r="B29" s="25">
        <v>5.0070000000000003E-2</v>
      </c>
    </row>
    <row r="30" spans="1:2" x14ac:dyDescent="0.25">
      <c r="A30" s="14">
        <v>42430</v>
      </c>
      <c r="B30" s="25">
        <v>3.7915999999999998E-2</v>
      </c>
    </row>
    <row r="31" spans="1:2" x14ac:dyDescent="0.25">
      <c r="A31" s="14">
        <v>42461</v>
      </c>
      <c r="B31" s="25">
        <v>4.3702999999999999E-2</v>
      </c>
    </row>
    <row r="32" spans="1:2" x14ac:dyDescent="0.25">
      <c r="A32" s="14">
        <v>42491</v>
      </c>
      <c r="B32" s="25">
        <v>5.2204E-2</v>
      </c>
    </row>
    <row r="33" spans="1:2" x14ac:dyDescent="0.25">
      <c r="A33" s="14">
        <v>42522</v>
      </c>
      <c r="B33" s="25">
        <v>5.2576999999999999E-2</v>
      </c>
    </row>
    <row r="34" spans="1:2" x14ac:dyDescent="0.25">
      <c r="A34" s="14">
        <v>42552</v>
      </c>
      <c r="B34" s="25">
        <v>5.8014000000000003E-2</v>
      </c>
    </row>
    <row r="35" spans="1:2" x14ac:dyDescent="0.25">
      <c r="A35" s="14">
        <v>42583</v>
      </c>
      <c r="B35" s="25">
        <v>5.2872000000000002E-2</v>
      </c>
    </row>
    <row r="36" spans="1:2" x14ac:dyDescent="0.25">
      <c r="A36" s="14">
        <v>42614</v>
      </c>
      <c r="B36" s="25">
        <v>4.3313999999999998E-2</v>
      </c>
    </row>
    <row r="37" spans="1:2" x14ac:dyDescent="0.25">
      <c r="A37" s="14">
        <v>42644</v>
      </c>
      <c r="B37" s="25">
        <v>3.8990999999999998E-2</v>
      </c>
    </row>
    <row r="38" spans="1:2" x14ac:dyDescent="0.25">
      <c r="A38" s="14">
        <v>42675</v>
      </c>
      <c r="B38" s="25">
        <v>3.6156000000000001E-2</v>
      </c>
    </row>
    <row r="39" spans="1:2" x14ac:dyDescent="0.25">
      <c r="A39" s="14">
        <v>42705</v>
      </c>
      <c r="B39" s="25">
        <v>3.5286999999999999E-2</v>
      </c>
    </row>
    <row r="40" spans="1:2" x14ac:dyDescent="0.25">
      <c r="A40" s="14">
        <v>42736</v>
      </c>
      <c r="B40" s="25">
        <v>3.4516999999999999E-2</v>
      </c>
    </row>
    <row r="41" spans="1:2" x14ac:dyDescent="0.25">
      <c r="A41" s="14">
        <v>42767</v>
      </c>
      <c r="B41" s="25">
        <v>3.2278000000000001E-2</v>
      </c>
    </row>
    <row r="42" spans="1:2" x14ac:dyDescent="0.25">
      <c r="A42" s="14">
        <v>42795</v>
      </c>
      <c r="B42" s="25">
        <v>3.3904999999999998E-2</v>
      </c>
    </row>
    <row r="43" spans="1:2" x14ac:dyDescent="0.25">
      <c r="A43" s="14">
        <v>42826</v>
      </c>
      <c r="B43" s="25">
        <v>3.1236E-2</v>
      </c>
    </row>
    <row r="44" spans="1:2" x14ac:dyDescent="0.25">
      <c r="A44" s="14">
        <v>42856</v>
      </c>
      <c r="B44" s="25">
        <v>3.7967000000000001E-2</v>
      </c>
    </row>
    <row r="45" spans="1:2" x14ac:dyDescent="0.25">
      <c r="A45" s="14">
        <v>42887</v>
      </c>
      <c r="B45" s="25">
        <v>4.5339999999999998E-2</v>
      </c>
    </row>
    <row r="46" spans="1:2" x14ac:dyDescent="0.25">
      <c r="A46" s="14">
        <v>42917</v>
      </c>
      <c r="B46" s="25">
        <v>4.9384999999999998E-2</v>
      </c>
    </row>
    <row r="47" spans="1:2" x14ac:dyDescent="0.25">
      <c r="A47" s="14">
        <v>42948</v>
      </c>
      <c r="B47" s="25">
        <v>5.0422000000000002E-2</v>
      </c>
    </row>
    <row r="48" spans="1:2" x14ac:dyDescent="0.25">
      <c r="A48" s="14">
        <v>42979</v>
      </c>
      <c r="B48" s="25">
        <v>4.1014000000000002E-2</v>
      </c>
    </row>
    <row r="49" spans="1:2" x14ac:dyDescent="0.25">
      <c r="A49" s="14">
        <v>43009</v>
      </c>
      <c r="B49" s="25">
        <v>3.1725999999999997E-2</v>
      </c>
    </row>
    <row r="50" spans="1:2" x14ac:dyDescent="0.25">
      <c r="A50" s="14">
        <v>43040</v>
      </c>
      <c r="B50" s="25">
        <v>3.1650999999999999E-2</v>
      </c>
    </row>
    <row r="51" spans="1:2" x14ac:dyDescent="0.25">
      <c r="A51" s="14">
        <v>43070</v>
      </c>
      <c r="B51" s="25">
        <v>3.4349999999999999E-2</v>
      </c>
    </row>
    <row r="52" spans="1:2" x14ac:dyDescent="0.25">
      <c r="A52" s="14">
        <v>43101</v>
      </c>
      <c r="B52" s="25">
        <v>3.8205999999999997E-2</v>
      </c>
    </row>
    <row r="53" spans="1:2" x14ac:dyDescent="0.25">
      <c r="A53" s="14">
        <v>43132</v>
      </c>
      <c r="B53" s="25">
        <v>3.3753999999999999E-2</v>
      </c>
    </row>
    <row r="54" spans="1:2" x14ac:dyDescent="0.25">
      <c r="A54" s="14">
        <v>43160</v>
      </c>
      <c r="B54" s="25">
        <v>3.0027999999999999E-2</v>
      </c>
    </row>
    <row r="55" spans="1:2" x14ac:dyDescent="0.25">
      <c r="A55" s="14">
        <v>43191</v>
      </c>
      <c r="B55" s="25">
        <v>2.4284E-2</v>
      </c>
    </row>
    <row r="56" spans="1:2" x14ac:dyDescent="0.25">
      <c r="A56" s="14">
        <v>43221</v>
      </c>
      <c r="B56" s="25">
        <v>3.3898999999999999E-2</v>
      </c>
    </row>
    <row r="57" spans="1:2" x14ac:dyDescent="0.25">
      <c r="A57" s="14">
        <v>43252</v>
      </c>
      <c r="B57" s="25">
        <v>3.8705000000000003E-2</v>
      </c>
    </row>
    <row r="58" spans="1:2" x14ac:dyDescent="0.25">
      <c r="A58" s="14">
        <v>43282</v>
      </c>
      <c r="B58" s="25">
        <v>3.6927000000000001E-2</v>
      </c>
    </row>
    <row r="59" spans="1:2" x14ac:dyDescent="0.25">
      <c r="A59" s="14">
        <v>43313</v>
      </c>
      <c r="B59" s="25">
        <v>2.6554000000000001E-2</v>
      </c>
    </row>
    <row r="60" spans="1:2" x14ac:dyDescent="0.25">
      <c r="A60" s="14">
        <v>43344</v>
      </c>
      <c r="B60" s="25">
        <v>1.5944E-2</v>
      </c>
    </row>
    <row r="61" spans="1:2" x14ac:dyDescent="0.25">
      <c r="A61" s="14">
        <v>43374</v>
      </c>
      <c r="B61" s="25">
        <v>1.0083E-2</v>
      </c>
    </row>
    <row r="62" spans="1:2" x14ac:dyDescent="0.25">
      <c r="A62" s="14">
        <v>43405</v>
      </c>
      <c r="B62" s="25">
        <v>8.548E-3</v>
      </c>
    </row>
    <row r="63" spans="1:2" x14ac:dyDescent="0.25">
      <c r="A63" s="14">
        <v>43435</v>
      </c>
      <c r="B63" s="25">
        <v>1.5037999999999999E-2</v>
      </c>
    </row>
    <row r="64" spans="1:2" x14ac:dyDescent="0.25">
      <c r="A64" s="14">
        <v>43466</v>
      </c>
      <c r="B64" s="25">
        <v>1.8364999999999999E-2</v>
      </c>
    </row>
    <row r="65" spans="1:2" x14ac:dyDescent="0.25">
      <c r="A65" s="14">
        <v>43497</v>
      </c>
      <c r="B65" s="25">
        <v>1.7288000000000001E-2</v>
      </c>
    </row>
    <row r="66" spans="1:2" x14ac:dyDescent="0.25">
      <c r="A66" s="14">
        <v>43525</v>
      </c>
      <c r="B66" s="25">
        <v>1.1864E-2</v>
      </c>
    </row>
    <row r="67" spans="1:2" x14ac:dyDescent="0.25">
      <c r="A67" s="14">
        <v>43556</v>
      </c>
      <c r="B67" s="25">
        <v>6.5420000000000001E-3</v>
      </c>
    </row>
    <row r="68" spans="1:2" x14ac:dyDescent="0.25">
      <c r="A68" s="14">
        <v>43586</v>
      </c>
      <c r="B68" s="25">
        <v>7.9850000000000008E-3</v>
      </c>
    </row>
    <row r="69" spans="1:2" x14ac:dyDescent="0.25">
      <c r="A69" s="14">
        <v>43617</v>
      </c>
      <c r="B69" s="25">
        <v>1.4010999999999999E-2</v>
      </c>
    </row>
    <row r="70" spans="1:2" x14ac:dyDescent="0.25">
      <c r="A70" s="14">
        <v>43647</v>
      </c>
      <c r="B70" s="25">
        <v>1.3396999999999999E-2</v>
      </c>
    </row>
    <row r="71" spans="1:2" x14ac:dyDescent="0.25">
      <c r="A71" s="14">
        <v>43678</v>
      </c>
      <c r="B71" s="25">
        <v>1.2625000000000001E-2</v>
      </c>
    </row>
    <row r="72" spans="1:2" x14ac:dyDescent="0.25">
      <c r="A72" s="14">
        <v>43709</v>
      </c>
      <c r="B72" s="25">
        <v>4.6829999999999997E-3</v>
      </c>
    </row>
    <row r="73" spans="1:2" x14ac:dyDescent="0.25">
      <c r="A73" s="14">
        <v>43739</v>
      </c>
      <c r="B73" s="25">
        <v>4.0010000000000002E-3</v>
      </c>
    </row>
    <row r="74" spans="1:2" x14ac:dyDescent="0.25">
      <c r="A74" s="14">
        <v>43770</v>
      </c>
      <c r="B74" s="25">
        <v>5.5989999999999998E-3</v>
      </c>
    </row>
    <row r="75" spans="1:2" x14ac:dyDescent="0.25">
      <c r="A75" s="14">
        <v>43800</v>
      </c>
      <c r="B75" s="25">
        <v>7.0670000000000004E-3</v>
      </c>
    </row>
    <row r="76" spans="1:2" x14ac:dyDescent="0.25">
      <c r="A76" s="14">
        <v>43831</v>
      </c>
      <c r="B76" s="25">
        <v>1.0317E-2</v>
      </c>
    </row>
    <row r="77" spans="1:2" x14ac:dyDescent="0.25">
      <c r="A77" s="14">
        <v>43862</v>
      </c>
      <c r="B77" s="25">
        <v>9.8370000000000003E-3</v>
      </c>
    </row>
    <row r="78" spans="1:2" x14ac:dyDescent="0.25">
      <c r="A78" s="14">
        <v>43891</v>
      </c>
      <c r="B78" s="25">
        <v>1.7531999999999999E-2</v>
      </c>
    </row>
    <row r="79" spans="1:2" x14ac:dyDescent="0.25">
      <c r="A79" s="14">
        <v>43922</v>
      </c>
      <c r="B79" s="25">
        <v>5.9680000000000002E-3</v>
      </c>
    </row>
    <row r="80" spans="1:2" x14ac:dyDescent="0.25">
      <c r="A80" s="14">
        <v>43952</v>
      </c>
      <c r="B80" s="25">
        <v>4.084E-3</v>
      </c>
    </row>
    <row r="81" spans="1:2" x14ac:dyDescent="0.25">
      <c r="A81" s="14">
        <v>43983</v>
      </c>
      <c r="B81" s="25">
        <v>7.9500000000000005E-3</v>
      </c>
    </row>
    <row r="82" spans="1:2" x14ac:dyDescent="0.25">
      <c r="A82" s="14">
        <v>44013</v>
      </c>
      <c r="B82" s="25">
        <v>1.1989E-2</v>
      </c>
    </row>
    <row r="83" spans="1:2" x14ac:dyDescent="0.25">
      <c r="A83" s="14">
        <v>44044</v>
      </c>
      <c r="B83" s="25">
        <v>8.3260000000000001E-3</v>
      </c>
    </row>
    <row r="84" spans="1:2" x14ac:dyDescent="0.25">
      <c r="A84" s="14">
        <v>44075</v>
      </c>
      <c r="B84" s="25">
        <v>3.2429999999999998E-3</v>
      </c>
    </row>
    <row r="85" spans="1:2" x14ac:dyDescent="0.25">
      <c r="A85" s="14">
        <v>44105</v>
      </c>
      <c r="B85" s="25">
        <v>2.5739999999999999E-3</v>
      </c>
    </row>
    <row r="86" spans="1:2" x14ac:dyDescent="0.25">
      <c r="A86" s="14">
        <v>44136</v>
      </c>
      <c r="B86" s="25">
        <v>2.4889999999999999E-3</v>
      </c>
    </row>
    <row r="87" spans="1:2"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c r="B131" s="25"/>
    </row>
    <row r="132" spans="1:5" x14ac:dyDescent="0.25">
      <c r="A132" s="14"/>
      <c r="B132" s="25"/>
    </row>
    <row r="133" spans="1:5" x14ac:dyDescent="0.25">
      <c r="A133" s="14"/>
      <c r="B133" s="25"/>
    </row>
    <row r="134" spans="1:5" x14ac:dyDescent="0.25">
      <c r="A134" s="14"/>
      <c r="B134" s="25"/>
    </row>
    <row r="135" spans="1:5" x14ac:dyDescent="0.25">
      <c r="A135" s="14"/>
      <c r="B135" s="25"/>
    </row>
    <row r="136" spans="1:5" x14ac:dyDescent="0.25">
      <c r="A136" s="14"/>
    </row>
    <row r="137" spans="1:5" ht="60" x14ac:dyDescent="0.25">
      <c r="A137" s="27">
        <f>Pooling_Month</f>
        <v>45536</v>
      </c>
      <c r="B137" s="29" t="s">
        <v>69</v>
      </c>
    </row>
    <row r="138" spans="1:5" x14ac:dyDescent="0.25">
      <c r="A138" s="31" t="s">
        <v>60</v>
      </c>
      <c r="B138" s="32">
        <v>6.4919999999999995E-3</v>
      </c>
    </row>
    <row r="139" spans="1:5" ht="17.25" customHeight="1" x14ac:dyDescent="0.25"/>
    <row r="140" spans="1:5" hidden="1" x14ac:dyDescent="0.25">
      <c r="E140" t="s">
        <v>195</v>
      </c>
    </row>
    <row r="141" spans="1:5" ht="30" hidden="1" x14ac:dyDescent="0.25">
      <c r="A141" s="40" t="s">
        <v>202</v>
      </c>
      <c r="B141" s="95">
        <f>B120-B118</f>
        <v>-5.0000000000000044E-4</v>
      </c>
    </row>
    <row r="142" spans="1:5" hidden="1" x14ac:dyDescent="0.25">
      <c r="A142" s="93" t="s">
        <v>209</v>
      </c>
      <c r="B142" s="95">
        <f>B130</f>
        <v>6.992E-3</v>
      </c>
    </row>
    <row r="143" spans="1:5" hidden="1" x14ac:dyDescent="0.25">
      <c r="A143" s="91" t="s">
        <v>203</v>
      </c>
      <c r="B143" s="95">
        <f>SUM(B141:B142)</f>
        <v>6.4919999999999995E-3</v>
      </c>
    </row>
    <row r="144" spans="1:5" hidden="1" x14ac:dyDescent="0.25">
      <c r="A144" s="92" t="s">
        <v>204</v>
      </c>
      <c r="B144" s="95">
        <f>B120</f>
        <v>4.2909999999999997E-3</v>
      </c>
    </row>
    <row r="145" spans="1:2" hidden="1" x14ac:dyDescent="0.25">
      <c r="A145" s="92" t="s">
        <v>205</v>
      </c>
      <c r="B145" s="95">
        <f>B108</f>
        <v>1.07018E-3</v>
      </c>
    </row>
    <row r="146" spans="1:2" hidden="1" x14ac:dyDescent="0.25">
      <c r="A146" s="91" t="s">
        <v>206</v>
      </c>
      <c r="B146" s="95">
        <f>B96</f>
        <v>8.9949999999999995E-3</v>
      </c>
    </row>
    <row r="147" spans="1:2" hidden="1" x14ac:dyDescent="0.25">
      <c r="A147" s="40" t="s">
        <v>207</v>
      </c>
      <c r="B147" s="95">
        <f>AVERAGE(B143:B146)</f>
        <v>5.2120450000000002E-3</v>
      </c>
    </row>
    <row r="148" spans="1:2" hidden="1" x14ac:dyDescent="0.25">
      <c r="A148" s="40" t="s">
        <v>208</v>
      </c>
      <c r="B148" s="25">
        <f>AVERAGE(B143:B145)</f>
        <v>3.9510600000000002E-3</v>
      </c>
    </row>
    <row r="151" spans="1:2" x14ac:dyDescent="0.25">
      <c r="A151" s="40"/>
    </row>
    <row r="152" spans="1:2" x14ac:dyDescent="0.25">
      <c r="A152" s="93"/>
    </row>
    <row r="153" spans="1:2" x14ac:dyDescent="0.25">
      <c r="A153" s="91"/>
    </row>
    <row r="154" spans="1:2" x14ac:dyDescent="0.25">
      <c r="A154" s="92"/>
    </row>
    <row r="156" spans="1:2" x14ac:dyDescent="0.25">
      <c r="A156" s="92"/>
    </row>
    <row r="157" spans="1:2" x14ac:dyDescent="0.25">
      <c r="A157" s="92"/>
    </row>
    <row r="158" spans="1:2" x14ac:dyDescent="0.25">
      <c r="A158" s="91"/>
    </row>
    <row r="159" spans="1:2" x14ac:dyDescent="0.25">
      <c r="A159" s="40"/>
    </row>
  </sheetData>
  <sheetProtection algorithmName="SHA-512" hashValue="5U1GSQxG1PaRen2EQ5i5M4YOkuEwVW1YiwVWy86ofzdwTIddIYi4aONm5D8OrfkwvoNFHGHa0W5phimpI3d6UQ==" saltValue="W7c6AFo4SOvYMq42xMxbew=="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J154"/>
  <sheetViews>
    <sheetView workbookViewId="0">
      <pane ySplit="4" topLeftCell="A135" activePane="bottomLeft" state="frozenSplit"/>
      <selection pane="bottomLeft" activeCell="A143" sqref="A143:XFD154"/>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s>
  <sheetData>
    <row r="1" spans="1:6" x14ac:dyDescent="0.25">
      <c r="A1" s="23" t="s">
        <v>55</v>
      </c>
      <c r="B1" s="23" t="s">
        <v>79</v>
      </c>
      <c r="E1" s="216" t="s">
        <v>211</v>
      </c>
    </row>
    <row r="2" spans="1:6" x14ac:dyDescent="0.25">
      <c r="A2" s="22" t="s">
        <v>56</v>
      </c>
      <c r="B2" s="22" t="s">
        <v>57</v>
      </c>
    </row>
    <row r="4" spans="1:6" ht="90" x14ac:dyDescent="0.25">
      <c r="A4" s="24" t="s">
        <v>0</v>
      </c>
      <c r="B4" s="20" t="s">
        <v>138</v>
      </c>
      <c r="C4" s="20" t="s">
        <v>139</v>
      </c>
      <c r="F4" s="28" t="s">
        <v>85</v>
      </c>
    </row>
    <row r="5" spans="1:6" x14ac:dyDescent="0.25">
      <c r="A5" s="14">
        <v>41579</v>
      </c>
      <c r="B5" s="25">
        <v>0.11491999999999999</v>
      </c>
      <c r="C5" s="25">
        <v>0.28892899999999999</v>
      </c>
      <c r="F5" s="96">
        <f>C5/B5</f>
        <v>2.51417507831535</v>
      </c>
    </row>
    <row r="6" spans="1:6" x14ac:dyDescent="0.25">
      <c r="A6" s="14">
        <v>41609</v>
      </c>
      <c r="B6" s="25">
        <v>0.14013100000000001</v>
      </c>
      <c r="C6" s="25">
        <v>0.31473400000000001</v>
      </c>
      <c r="F6" s="96">
        <f t="shared" ref="F6:F39" si="0">C6/B6</f>
        <v>2.2459983872233837</v>
      </c>
    </row>
    <row r="7" spans="1:6" x14ac:dyDescent="0.25">
      <c r="A7" s="14">
        <v>41640</v>
      </c>
      <c r="B7" s="25">
        <v>0.15754599999999999</v>
      </c>
      <c r="C7" s="25">
        <v>0.35601300000000002</v>
      </c>
      <c r="F7" s="96">
        <f t="shared" si="0"/>
        <v>2.2597400124408114</v>
      </c>
    </row>
    <row r="8" spans="1:6" x14ac:dyDescent="0.25">
      <c r="A8" s="14">
        <v>41671</v>
      </c>
      <c r="B8" s="25">
        <v>0.14058899999999999</v>
      </c>
      <c r="C8" s="25">
        <v>0.321266</v>
      </c>
      <c r="F8" s="96">
        <f t="shared" si="0"/>
        <v>2.2851432188862573</v>
      </c>
    </row>
    <row r="9" spans="1:6" x14ac:dyDescent="0.25">
      <c r="A9" s="14">
        <v>41699</v>
      </c>
      <c r="B9" s="25">
        <v>0.15273600000000001</v>
      </c>
      <c r="C9" s="25">
        <v>0.31956299999999999</v>
      </c>
      <c r="F9" s="96">
        <f t="shared" si="0"/>
        <v>2.0922572281583909</v>
      </c>
    </row>
    <row r="10" spans="1:6" x14ac:dyDescent="0.25">
      <c r="A10" s="14">
        <v>41730</v>
      </c>
      <c r="B10" s="25">
        <v>0.16483900000000001</v>
      </c>
      <c r="C10" s="25">
        <v>0.33604899999999999</v>
      </c>
      <c r="F10" s="96">
        <f t="shared" si="0"/>
        <v>2.0386498340805268</v>
      </c>
    </row>
    <row r="11" spans="1:6" x14ac:dyDescent="0.25">
      <c r="A11" s="14">
        <v>41760</v>
      </c>
      <c r="B11" s="25">
        <v>0.16026599999999999</v>
      </c>
      <c r="C11" s="25">
        <v>0.31649500000000003</v>
      </c>
      <c r="F11" s="96">
        <f t="shared" si="0"/>
        <v>1.9748106273320607</v>
      </c>
    </row>
    <row r="12" spans="1:6" x14ac:dyDescent="0.25">
      <c r="A12" s="14">
        <v>41791</v>
      </c>
      <c r="B12" s="25">
        <v>0.14763799999999999</v>
      </c>
      <c r="C12" s="25">
        <v>0.28406700000000001</v>
      </c>
      <c r="F12" s="96">
        <f t="shared" si="0"/>
        <v>1.9240778119454343</v>
      </c>
    </row>
    <row r="13" spans="1:6" x14ac:dyDescent="0.25">
      <c r="A13" s="14">
        <v>41821</v>
      </c>
      <c r="B13" s="25">
        <v>0.14802399999999999</v>
      </c>
      <c r="C13" s="25">
        <v>0.28536099999999998</v>
      </c>
      <c r="F13" s="96">
        <f t="shared" si="0"/>
        <v>1.927802248284062</v>
      </c>
    </row>
    <row r="14" spans="1:6" x14ac:dyDescent="0.25">
      <c r="A14" s="14">
        <v>41852</v>
      </c>
      <c r="B14" s="25">
        <v>0.157363</v>
      </c>
      <c r="C14" s="25">
        <v>0.30434899999999998</v>
      </c>
      <c r="F14" s="96">
        <f t="shared" si="0"/>
        <v>1.9340569257068052</v>
      </c>
    </row>
    <row r="15" spans="1:6" x14ac:dyDescent="0.25">
      <c r="A15" s="14">
        <v>41883</v>
      </c>
      <c r="B15" s="25">
        <v>0.16189700000000001</v>
      </c>
      <c r="C15" s="25">
        <v>0.324488</v>
      </c>
      <c r="F15" s="96">
        <f t="shared" si="0"/>
        <v>2.0042866760965303</v>
      </c>
    </row>
    <row r="16" spans="1:6" x14ac:dyDescent="0.25">
      <c r="A16" s="14">
        <v>41913</v>
      </c>
      <c r="B16" s="25">
        <v>0.16720399999999999</v>
      </c>
      <c r="C16" s="25">
        <v>0.33759499999999998</v>
      </c>
      <c r="F16" s="96">
        <f t="shared" si="0"/>
        <v>2.0190605487906987</v>
      </c>
    </row>
    <row r="17" spans="1:6" x14ac:dyDescent="0.25">
      <c r="A17" s="14">
        <v>41944</v>
      </c>
      <c r="B17" s="25">
        <v>0.141958</v>
      </c>
      <c r="C17" s="25">
        <v>0.30612200000000001</v>
      </c>
      <c r="F17" s="96">
        <f t="shared" si="0"/>
        <v>2.1564265486975023</v>
      </c>
    </row>
    <row r="18" spans="1:6" x14ac:dyDescent="0.25">
      <c r="A18" s="14">
        <v>41974</v>
      </c>
      <c r="B18" s="25">
        <v>0.15570400000000001</v>
      </c>
      <c r="C18" s="25">
        <v>0.319996</v>
      </c>
      <c r="F18" s="96">
        <f t="shared" si="0"/>
        <v>2.055155936905924</v>
      </c>
    </row>
    <row r="19" spans="1:6" x14ac:dyDescent="0.25">
      <c r="A19" s="14">
        <v>42005</v>
      </c>
      <c r="B19" s="25">
        <v>0.152563</v>
      </c>
      <c r="C19" s="25">
        <v>0.31522899999999998</v>
      </c>
      <c r="F19" s="96">
        <f t="shared" si="0"/>
        <v>2.0662218231156961</v>
      </c>
    </row>
    <row r="20" spans="1:6" x14ac:dyDescent="0.25">
      <c r="A20" s="14">
        <v>42036</v>
      </c>
      <c r="B20" s="25">
        <v>0.151477</v>
      </c>
      <c r="C20" s="25">
        <v>0.30510700000000002</v>
      </c>
      <c r="F20" s="96">
        <f t="shared" si="0"/>
        <v>2.0142133789288144</v>
      </c>
    </row>
    <row r="21" spans="1:6" x14ac:dyDescent="0.25">
      <c r="A21" s="14">
        <v>42064</v>
      </c>
      <c r="B21" s="25">
        <v>0.14623800000000001</v>
      </c>
      <c r="C21" s="25">
        <v>0.29702600000000001</v>
      </c>
      <c r="F21" s="96">
        <f t="shared" si="0"/>
        <v>2.0311136640271337</v>
      </c>
    </row>
    <row r="22" spans="1:6" x14ac:dyDescent="0.25">
      <c r="A22" s="14">
        <v>42095</v>
      </c>
      <c r="B22" s="25">
        <v>0.138263</v>
      </c>
      <c r="C22" s="25">
        <v>0.289186</v>
      </c>
      <c r="F22" s="96">
        <f t="shared" si="0"/>
        <v>2.0915646268343666</v>
      </c>
    </row>
    <row r="23" spans="1:6" x14ac:dyDescent="0.25">
      <c r="A23" s="14">
        <v>42125</v>
      </c>
      <c r="B23" s="25">
        <v>0.13628599999999999</v>
      </c>
      <c r="C23" s="25">
        <v>0.276588</v>
      </c>
      <c r="F23" s="96">
        <f t="shared" si="0"/>
        <v>2.0294674434644793</v>
      </c>
    </row>
    <row r="24" spans="1:6" x14ac:dyDescent="0.25">
      <c r="A24" s="14">
        <v>42156</v>
      </c>
      <c r="B24" s="25">
        <v>0.12238599999999999</v>
      </c>
      <c r="C24" s="25">
        <v>0.24155799999999999</v>
      </c>
      <c r="F24" s="96">
        <f t="shared" si="0"/>
        <v>1.9737388263363458</v>
      </c>
    </row>
    <row r="25" spans="1:6" x14ac:dyDescent="0.25">
      <c r="A25" s="14">
        <v>42186</v>
      </c>
      <c r="B25" s="25">
        <v>0.136792</v>
      </c>
      <c r="C25" s="25">
        <v>0.26720699999999997</v>
      </c>
      <c r="F25" s="96">
        <f t="shared" si="0"/>
        <v>1.9533817767120882</v>
      </c>
    </row>
    <row r="26" spans="1:6" x14ac:dyDescent="0.25">
      <c r="A26" s="14">
        <v>42217</v>
      </c>
      <c r="B26" s="25">
        <v>0.14049200000000001</v>
      </c>
      <c r="C26" s="25">
        <v>0.278725</v>
      </c>
      <c r="F26" s="96">
        <f t="shared" si="0"/>
        <v>1.9839207926429974</v>
      </c>
    </row>
    <row r="27" spans="1:6" x14ac:dyDescent="0.25">
      <c r="A27" s="14">
        <v>42248</v>
      </c>
      <c r="B27" s="25">
        <v>0.14083699999999999</v>
      </c>
      <c r="C27" s="25">
        <v>0.28983599999999998</v>
      </c>
      <c r="F27" s="96">
        <f t="shared" si="0"/>
        <v>2.0579535207367381</v>
      </c>
    </row>
    <row r="28" spans="1:6" x14ac:dyDescent="0.25">
      <c r="A28" s="14">
        <v>42278</v>
      </c>
      <c r="B28" s="25">
        <v>0.14111599999999999</v>
      </c>
      <c r="C28" s="25">
        <v>0.291744</v>
      </c>
      <c r="F28" s="96">
        <f t="shared" si="0"/>
        <v>2.0674055387057457</v>
      </c>
    </row>
    <row r="29" spans="1:6" x14ac:dyDescent="0.25">
      <c r="A29" s="14">
        <v>42309</v>
      </c>
      <c r="B29" s="25">
        <v>0.13934099999999999</v>
      </c>
      <c r="C29" s="25">
        <v>0.28956799999999999</v>
      </c>
      <c r="F29" s="96">
        <f t="shared" si="0"/>
        <v>2.0781248878650218</v>
      </c>
    </row>
    <row r="30" spans="1:6" x14ac:dyDescent="0.25">
      <c r="A30" s="14">
        <v>42339</v>
      </c>
      <c r="B30" s="25">
        <v>0.14752199999999999</v>
      </c>
      <c r="C30" s="25">
        <v>0.302678</v>
      </c>
      <c r="F30" s="96">
        <f t="shared" si="0"/>
        <v>2.0517482138257348</v>
      </c>
    </row>
    <row r="31" spans="1:6" x14ac:dyDescent="0.25">
      <c r="A31" s="14">
        <v>42370</v>
      </c>
      <c r="B31" s="25">
        <v>0.14166799999999999</v>
      </c>
      <c r="C31" s="25">
        <v>0.296238</v>
      </c>
      <c r="F31" s="96">
        <f t="shared" si="0"/>
        <v>2.0910720840274446</v>
      </c>
    </row>
    <row r="32" spans="1:6" x14ac:dyDescent="0.25">
      <c r="A32" s="14">
        <v>42401</v>
      </c>
      <c r="B32" s="25">
        <v>0.14480499999999999</v>
      </c>
      <c r="C32" s="25">
        <v>0.29871500000000001</v>
      </c>
      <c r="F32" s="96">
        <f t="shared" si="0"/>
        <v>2.0628776630641208</v>
      </c>
    </row>
    <row r="33" spans="1:6" x14ac:dyDescent="0.25">
      <c r="A33" s="14">
        <v>42430</v>
      </c>
      <c r="B33" s="25">
        <v>0.14351800000000001</v>
      </c>
      <c r="C33" s="25">
        <v>0.29424600000000001</v>
      </c>
      <c r="F33" s="96">
        <f t="shared" si="0"/>
        <v>2.0502376008584289</v>
      </c>
    </row>
    <row r="34" spans="1:6" x14ac:dyDescent="0.25">
      <c r="A34" s="14">
        <v>42461</v>
      </c>
      <c r="B34" s="25">
        <v>0.14793600000000001</v>
      </c>
      <c r="C34" s="25">
        <v>0.302894</v>
      </c>
      <c r="F34" s="96">
        <f t="shared" si="0"/>
        <v>2.0474664719878866</v>
      </c>
    </row>
    <row r="35" spans="1:6" x14ac:dyDescent="0.25">
      <c r="A35" s="14">
        <v>42491</v>
      </c>
      <c r="B35" s="25">
        <v>0.139267</v>
      </c>
      <c r="C35" s="25">
        <v>0.27593200000000001</v>
      </c>
      <c r="F35" s="96">
        <f t="shared" si="0"/>
        <v>1.9813164640582479</v>
      </c>
    </row>
    <row r="36" spans="1:6" x14ac:dyDescent="0.25">
      <c r="A36" s="14">
        <v>42522</v>
      </c>
      <c r="B36" s="25">
        <v>0.14191400000000001</v>
      </c>
      <c r="C36" s="25">
        <v>0.27126699999999998</v>
      </c>
      <c r="F36" s="96">
        <f t="shared" si="0"/>
        <v>1.9114886480544553</v>
      </c>
    </row>
    <row r="37" spans="1:6" x14ac:dyDescent="0.25">
      <c r="A37" s="14">
        <v>42552</v>
      </c>
      <c r="B37" s="25">
        <v>0.13888200000000001</v>
      </c>
      <c r="C37" s="25">
        <v>0.281779</v>
      </c>
      <c r="F37" s="96">
        <f t="shared" si="0"/>
        <v>2.0289094339079217</v>
      </c>
    </row>
    <row r="38" spans="1:6" x14ac:dyDescent="0.25">
      <c r="A38" s="14">
        <v>42583</v>
      </c>
      <c r="B38" s="25">
        <v>0.15337500000000001</v>
      </c>
      <c r="C38" s="25">
        <v>0.31591999999999998</v>
      </c>
      <c r="F38" s="96">
        <f t="shared" si="0"/>
        <v>2.0597881010594943</v>
      </c>
    </row>
    <row r="39" spans="1:6" x14ac:dyDescent="0.25">
      <c r="A39" s="14">
        <v>42614</v>
      </c>
      <c r="B39" s="25">
        <v>0.14744099999999999</v>
      </c>
      <c r="C39" s="25">
        <v>0.31104300000000001</v>
      </c>
      <c r="F39" s="96">
        <f t="shared" si="0"/>
        <v>2.1096099456731849</v>
      </c>
    </row>
    <row r="40" spans="1:6" x14ac:dyDescent="0.25">
      <c r="A40" s="14">
        <v>42644</v>
      </c>
      <c r="B40" s="25">
        <v>0.13972899999999999</v>
      </c>
      <c r="C40" s="25">
        <v>0.30178100000000002</v>
      </c>
      <c r="F40" s="96">
        <f>C40/B40</f>
        <v>2.1597592482591303</v>
      </c>
    </row>
    <row r="41" spans="1:6" x14ac:dyDescent="0.25">
      <c r="A41" s="14">
        <v>42675</v>
      </c>
      <c r="B41" s="25">
        <v>0.14069999999999999</v>
      </c>
      <c r="C41" s="25">
        <v>0.30149999999999999</v>
      </c>
      <c r="F41" s="96">
        <f t="shared" ref="F41:F50" si="1">C41/B41</f>
        <v>2.1428571428571428</v>
      </c>
    </row>
    <row r="42" spans="1:6" x14ac:dyDescent="0.25">
      <c r="A42" s="14">
        <v>42705</v>
      </c>
      <c r="B42" s="25">
        <v>0.15910000000000002</v>
      </c>
      <c r="C42" s="25">
        <v>0.33740000000000003</v>
      </c>
      <c r="F42" s="96">
        <f t="shared" si="1"/>
        <v>2.120678818353237</v>
      </c>
    </row>
    <row r="43" spans="1:6" x14ac:dyDescent="0.25">
      <c r="A43" s="14">
        <v>42736</v>
      </c>
      <c r="B43" s="25">
        <v>0.15179999999999999</v>
      </c>
      <c r="C43" s="25">
        <v>0.3206</v>
      </c>
      <c r="F43" s="96">
        <f t="shared" si="1"/>
        <v>2.1119894598155469</v>
      </c>
    </row>
    <row r="44" spans="1:6" x14ac:dyDescent="0.25">
      <c r="A44" s="14">
        <v>42767</v>
      </c>
      <c r="B44" s="25">
        <v>0.159</v>
      </c>
      <c r="C44" s="25">
        <v>0.32889999999999997</v>
      </c>
      <c r="F44" s="96">
        <f t="shared" si="1"/>
        <v>2.0685534591194967</v>
      </c>
    </row>
    <row r="45" spans="1:6" x14ac:dyDescent="0.25">
      <c r="A45" s="14">
        <v>42795</v>
      </c>
      <c r="B45" s="25">
        <v>0.16290000000000002</v>
      </c>
      <c r="C45" s="25">
        <v>0.3352</v>
      </c>
      <c r="F45" s="96">
        <f t="shared" si="1"/>
        <v>2.0577041129527314</v>
      </c>
    </row>
    <row r="46" spans="1:6" x14ac:dyDescent="0.25">
      <c r="A46" s="14">
        <v>42826</v>
      </c>
      <c r="B46" s="25">
        <v>0.158</v>
      </c>
      <c r="C46" s="25">
        <v>0.32380000000000003</v>
      </c>
      <c r="F46" s="96">
        <f t="shared" si="1"/>
        <v>2.0493670886075952</v>
      </c>
    </row>
    <row r="47" spans="1:6" x14ac:dyDescent="0.25">
      <c r="A47" s="14">
        <v>42856</v>
      </c>
      <c r="B47" s="25">
        <v>0.15870000000000001</v>
      </c>
      <c r="C47" s="25">
        <v>0.32299999999999995</v>
      </c>
      <c r="F47" s="96">
        <f t="shared" si="1"/>
        <v>2.0352867044738496</v>
      </c>
    </row>
    <row r="48" spans="1:6" x14ac:dyDescent="0.25">
      <c r="A48" s="14">
        <v>42887</v>
      </c>
      <c r="B48" s="25">
        <v>0.16020000000000001</v>
      </c>
      <c r="C48" s="25">
        <v>0.31319999999999998</v>
      </c>
      <c r="F48" s="96">
        <f t="shared" si="1"/>
        <v>1.9550561797752806</v>
      </c>
    </row>
    <row r="49" spans="1:6" x14ac:dyDescent="0.25">
      <c r="A49" s="14">
        <v>42917</v>
      </c>
      <c r="B49" s="25">
        <v>0.158888</v>
      </c>
      <c r="C49" s="25">
        <v>0.30704300000000001</v>
      </c>
      <c r="F49" s="96">
        <f t="shared" si="1"/>
        <v>1.9324492724434823</v>
      </c>
    </row>
    <row r="50" spans="1:6" x14ac:dyDescent="0.25">
      <c r="A50" s="14">
        <v>42948</v>
      </c>
      <c r="B50" s="25">
        <v>0.16734399999999999</v>
      </c>
      <c r="C50" s="25">
        <v>0.32919700000000002</v>
      </c>
      <c r="F50" s="96">
        <f t="shared" si="1"/>
        <v>1.9671873506071329</v>
      </c>
    </row>
    <row r="51" spans="1:6" x14ac:dyDescent="0.25">
      <c r="A51" s="14">
        <v>42979</v>
      </c>
      <c r="B51" s="25">
        <v>0.16395899999999999</v>
      </c>
      <c r="C51" s="25">
        <v>0.32841199999999998</v>
      </c>
      <c r="F51" s="96">
        <f t="shared" ref="F51:F70" si="2">C51/B51</f>
        <v>2.0030129483590411</v>
      </c>
    </row>
    <row r="52" spans="1:6" x14ac:dyDescent="0.25">
      <c r="A52" s="14">
        <v>43009</v>
      </c>
      <c r="B52" s="25">
        <v>0.15711800000000001</v>
      </c>
      <c r="C52" s="25">
        <v>0.31939600000000001</v>
      </c>
      <c r="F52" s="96">
        <f t="shared" si="2"/>
        <v>2.0328415585738107</v>
      </c>
    </row>
    <row r="53" spans="1:6" x14ac:dyDescent="0.25">
      <c r="A53" s="14">
        <v>43040</v>
      </c>
      <c r="B53" s="25">
        <v>0.16409899999999999</v>
      </c>
      <c r="C53" s="25">
        <v>0.335642</v>
      </c>
      <c r="F53" s="96">
        <f t="shared" si="2"/>
        <v>2.0453628602246203</v>
      </c>
    </row>
    <row r="54" spans="1:6" x14ac:dyDescent="0.25">
      <c r="A54" s="14">
        <v>43070</v>
      </c>
      <c r="B54" s="25">
        <v>0.159333</v>
      </c>
      <c r="C54" s="25">
        <v>0.320606</v>
      </c>
      <c r="F54" s="96">
        <f t="shared" si="2"/>
        <v>2.0121757576898696</v>
      </c>
    </row>
    <row r="55" spans="1:6" x14ac:dyDescent="0.25">
      <c r="A55" s="14">
        <v>43101</v>
      </c>
      <c r="B55" s="25">
        <v>0.16988700000000001</v>
      </c>
      <c r="C55" s="25">
        <v>0.34370099999999998</v>
      </c>
      <c r="F55" s="96">
        <f t="shared" si="2"/>
        <v>2.0231153649190343</v>
      </c>
    </row>
    <row r="56" spans="1:6" x14ac:dyDescent="0.25">
      <c r="A56" s="14">
        <v>43132</v>
      </c>
      <c r="B56" s="25">
        <v>0.16858100000000001</v>
      </c>
      <c r="C56" s="25">
        <v>0.33840799999999999</v>
      </c>
      <c r="F56" s="96">
        <f t="shared" si="2"/>
        <v>2.0073911057592491</v>
      </c>
    </row>
    <row r="57" spans="1:6" x14ac:dyDescent="0.25">
      <c r="A57" s="14">
        <v>43160</v>
      </c>
      <c r="B57" s="25">
        <v>0.17061799999999999</v>
      </c>
      <c r="C57" s="25">
        <v>0.34012500000000001</v>
      </c>
      <c r="F57" s="96">
        <f t="shared" si="2"/>
        <v>1.9934883775451595</v>
      </c>
    </row>
    <row r="58" spans="1:6" x14ac:dyDescent="0.25">
      <c r="A58" s="14">
        <v>43191</v>
      </c>
      <c r="B58" s="25">
        <v>0.16058</v>
      </c>
      <c r="C58" s="25">
        <v>0.317523</v>
      </c>
      <c r="F58" s="96">
        <f t="shared" si="2"/>
        <v>1.9773508531573047</v>
      </c>
    </row>
    <row r="59" spans="1:6" x14ac:dyDescent="0.25">
      <c r="A59" s="14">
        <v>43221</v>
      </c>
      <c r="B59" s="25">
        <v>0.16197400000000001</v>
      </c>
      <c r="C59" s="25">
        <v>0.31332300000000002</v>
      </c>
      <c r="F59" s="96">
        <f t="shared" si="2"/>
        <v>1.9344030523417339</v>
      </c>
    </row>
    <row r="60" spans="1:6" x14ac:dyDescent="0.25">
      <c r="A60" s="14">
        <v>43252</v>
      </c>
      <c r="B60" s="25">
        <v>0.16020999999999999</v>
      </c>
      <c r="C60" s="25">
        <v>0.29991600000000002</v>
      </c>
      <c r="F60" s="96">
        <f t="shared" si="2"/>
        <v>1.8720179764059675</v>
      </c>
    </row>
    <row r="61" spans="1:6" x14ac:dyDescent="0.25">
      <c r="A61" s="14">
        <v>43282</v>
      </c>
      <c r="B61" s="25">
        <v>0.16223000000000001</v>
      </c>
      <c r="C61" s="25">
        <v>0.30474099999999998</v>
      </c>
      <c r="F61" s="96">
        <f t="shared" si="2"/>
        <v>1.8784503482709731</v>
      </c>
    </row>
    <row r="62" spans="1:6" x14ac:dyDescent="0.25">
      <c r="A62" s="14">
        <v>43313</v>
      </c>
      <c r="B62" s="25">
        <v>0.16886200000000001</v>
      </c>
      <c r="C62" s="25">
        <v>0.31771899999999997</v>
      </c>
      <c r="F62" s="96">
        <f t="shared" si="2"/>
        <v>1.8815304805107127</v>
      </c>
    </row>
    <row r="63" spans="1:6" x14ac:dyDescent="0.25">
      <c r="A63" s="14">
        <v>43344</v>
      </c>
      <c r="B63" s="25">
        <v>0.17102800000000001</v>
      </c>
      <c r="C63" s="25">
        <v>0.33010099999999998</v>
      </c>
      <c r="F63" s="96">
        <f t="shared" si="2"/>
        <v>1.9300991650489976</v>
      </c>
    </row>
    <row r="64" spans="1:6" x14ac:dyDescent="0.25">
      <c r="A64" s="14">
        <v>43374</v>
      </c>
      <c r="B64" s="25">
        <v>0.15296599999999999</v>
      </c>
      <c r="C64" s="25">
        <v>0.30055100000000001</v>
      </c>
      <c r="F64" s="96">
        <f t="shared" si="2"/>
        <v>1.9648222480812731</v>
      </c>
    </row>
    <row r="65" spans="1:10" x14ac:dyDescent="0.25">
      <c r="A65" s="14">
        <v>43405</v>
      </c>
      <c r="B65" s="25">
        <v>0.15087700000000001</v>
      </c>
      <c r="C65" s="25">
        <v>0.29690499999999997</v>
      </c>
      <c r="F65" s="96">
        <f t="shared" si="2"/>
        <v>1.9678612379620481</v>
      </c>
      <c r="J65" s="223"/>
    </row>
    <row r="66" spans="1:10" x14ac:dyDescent="0.25">
      <c r="A66" s="14">
        <v>43435</v>
      </c>
      <c r="B66" s="25">
        <v>0.14487800000000001</v>
      </c>
      <c r="C66" s="25">
        <v>0.28275400000000001</v>
      </c>
      <c r="F66" s="96">
        <f t="shared" si="2"/>
        <v>1.9516696806968621</v>
      </c>
      <c r="J66" s="223"/>
    </row>
    <row r="67" spans="1:10" x14ac:dyDescent="0.25">
      <c r="A67" s="14">
        <v>43466</v>
      </c>
      <c r="B67" s="25">
        <v>0.17676</v>
      </c>
      <c r="C67" s="25">
        <v>0.34120299999999998</v>
      </c>
      <c r="F67" s="96">
        <f t="shared" si="2"/>
        <v>1.9303179452364787</v>
      </c>
      <c r="J67" s="223"/>
    </row>
    <row r="68" spans="1:10" x14ac:dyDescent="0.25">
      <c r="A68" s="14">
        <v>43497</v>
      </c>
      <c r="B68" s="25">
        <v>0.158163</v>
      </c>
      <c r="C68" s="25">
        <v>0.30865799999999999</v>
      </c>
      <c r="F68" s="96">
        <f t="shared" si="2"/>
        <v>1.9515183702888792</v>
      </c>
      <c r="J68" s="223"/>
    </row>
    <row r="69" spans="1:10" x14ac:dyDescent="0.25">
      <c r="A69" s="14">
        <v>43525</v>
      </c>
      <c r="B69" s="25">
        <v>0.15521299999999999</v>
      </c>
      <c r="C69" s="25">
        <v>0.29896400000000001</v>
      </c>
      <c r="F69" s="96">
        <f t="shared" si="2"/>
        <v>1.9261530928466044</v>
      </c>
      <c r="J69" s="223"/>
    </row>
    <row r="70" spans="1:10" x14ac:dyDescent="0.25">
      <c r="A70" s="14">
        <v>43556</v>
      </c>
      <c r="B70" s="25">
        <v>0.16711100000000001</v>
      </c>
      <c r="C70" s="25">
        <v>0.31870500000000002</v>
      </c>
      <c r="F70" s="96">
        <f t="shared" si="2"/>
        <v>1.9071455499637966</v>
      </c>
      <c r="J70" s="223"/>
    </row>
    <row r="71" spans="1:10" x14ac:dyDescent="0.25">
      <c r="A71" s="14">
        <v>43586</v>
      </c>
      <c r="B71" s="25">
        <v>0.16348799999999999</v>
      </c>
      <c r="C71" s="25">
        <v>0.30765100000000001</v>
      </c>
      <c r="F71" s="96">
        <f t="shared" ref="F71:F78" si="3">C71/B71</f>
        <v>1.8817956057936975</v>
      </c>
      <c r="J71" s="223"/>
    </row>
    <row r="72" spans="1:10" x14ac:dyDescent="0.25">
      <c r="A72" s="14">
        <v>43617</v>
      </c>
      <c r="B72" s="25">
        <v>0.161908</v>
      </c>
      <c r="C72" s="25">
        <v>0.297707</v>
      </c>
      <c r="F72" s="96">
        <f t="shared" si="3"/>
        <v>1.8387417545766731</v>
      </c>
      <c r="J72" s="223"/>
    </row>
    <row r="73" spans="1:10" x14ac:dyDescent="0.25">
      <c r="A73" s="14">
        <v>43647</v>
      </c>
      <c r="B73" s="25">
        <v>0.162604</v>
      </c>
      <c r="C73" s="25">
        <v>0.29565799999999998</v>
      </c>
      <c r="F73" s="96">
        <f t="shared" si="3"/>
        <v>1.8182701532557624</v>
      </c>
      <c r="J73" s="223"/>
    </row>
    <row r="74" spans="1:10" x14ac:dyDescent="0.25">
      <c r="A74" s="14">
        <v>43678</v>
      </c>
      <c r="B74" s="25">
        <v>0.16148399999999999</v>
      </c>
      <c r="C74" s="25">
        <v>0.29683100000000001</v>
      </c>
      <c r="F74" s="96">
        <f t="shared" si="3"/>
        <v>1.838144955537391</v>
      </c>
      <c r="J74" s="223"/>
    </row>
    <row r="75" spans="1:10" x14ac:dyDescent="0.25">
      <c r="A75" s="14">
        <v>43709</v>
      </c>
      <c r="B75" s="25">
        <v>0.156385</v>
      </c>
      <c r="C75" s="25">
        <v>0.29170699999999999</v>
      </c>
      <c r="F75" s="96">
        <f t="shared" si="3"/>
        <v>1.8653131694216196</v>
      </c>
      <c r="J75" s="223"/>
    </row>
    <row r="76" spans="1:10" x14ac:dyDescent="0.25">
      <c r="A76" s="14">
        <v>43739</v>
      </c>
      <c r="B76" s="25">
        <v>0.16267400000000001</v>
      </c>
      <c r="C76" s="25">
        <v>0.30843100000000001</v>
      </c>
      <c r="F76" s="96">
        <f t="shared" si="3"/>
        <v>1.8960067374011826</v>
      </c>
      <c r="J76" s="223"/>
    </row>
    <row r="77" spans="1:10" x14ac:dyDescent="0.25">
      <c r="A77" s="14">
        <v>43770</v>
      </c>
      <c r="B77" s="25">
        <v>0.15013699999999999</v>
      </c>
      <c r="C77" s="25">
        <v>0.28042099999999998</v>
      </c>
      <c r="F77" s="96">
        <f t="shared" si="3"/>
        <v>1.8677674390723138</v>
      </c>
      <c r="J77" s="223"/>
    </row>
    <row r="78" spans="1:10" x14ac:dyDescent="0.25">
      <c r="A78" s="14">
        <v>43800</v>
      </c>
      <c r="B78" s="25">
        <v>0.166405</v>
      </c>
      <c r="C78" s="25">
        <v>0.30911699999999998</v>
      </c>
      <c r="F78" s="96">
        <f t="shared" si="3"/>
        <v>1.8576184609837443</v>
      </c>
      <c r="J78" s="223"/>
    </row>
    <row r="79" spans="1:10" x14ac:dyDescent="0.25">
      <c r="A79" s="14">
        <v>43831</v>
      </c>
      <c r="B79" s="25">
        <v>0.161465</v>
      </c>
      <c r="C79" s="25">
        <v>0.301149</v>
      </c>
      <c r="F79" s="96">
        <f t="shared" ref="F79:F119" si="4">C79/B79</f>
        <v>1.8651038924844394</v>
      </c>
      <c r="J79" s="223"/>
    </row>
    <row r="80" spans="1:10" x14ac:dyDescent="0.25">
      <c r="A80" s="14">
        <v>43862</v>
      </c>
      <c r="B80" s="25">
        <v>0.17650199999999999</v>
      </c>
      <c r="C80" s="25">
        <v>0.32792900000000003</v>
      </c>
      <c r="F80" s="96">
        <f t="shared" si="4"/>
        <v>1.8579336211487691</v>
      </c>
      <c r="J80" s="223"/>
    </row>
    <row r="81" spans="1:10" x14ac:dyDescent="0.25">
      <c r="A81" s="14">
        <v>43891</v>
      </c>
      <c r="B81" s="25">
        <v>0.13070599999999999</v>
      </c>
      <c r="C81" s="25">
        <v>0.23910200000000001</v>
      </c>
      <c r="F81" s="96">
        <f t="shared" si="4"/>
        <v>1.8293115847780517</v>
      </c>
      <c r="J81" s="223"/>
    </row>
    <row r="82" spans="1:10" x14ac:dyDescent="0.25">
      <c r="A82" s="14">
        <v>43922</v>
      </c>
      <c r="B82" s="25">
        <v>0.16373499999999999</v>
      </c>
      <c r="C82" s="25">
        <v>0.29805599999999999</v>
      </c>
      <c r="F82" s="96">
        <f t="shared" si="4"/>
        <v>1.8203560631508231</v>
      </c>
      <c r="J82" s="223"/>
    </row>
    <row r="83" spans="1:10" x14ac:dyDescent="0.25">
      <c r="A83" s="14">
        <v>43952</v>
      </c>
      <c r="B83" s="25">
        <v>0.169212</v>
      </c>
      <c r="C83" s="25">
        <v>0.30066599999999999</v>
      </c>
      <c r="F83" s="96">
        <f t="shared" si="4"/>
        <v>1.7768597971775051</v>
      </c>
      <c r="J83" s="223"/>
    </row>
    <row r="84" spans="1:10" x14ac:dyDescent="0.25">
      <c r="A84" s="14">
        <v>43983</v>
      </c>
      <c r="B84" s="25">
        <v>0.17830799999999999</v>
      </c>
      <c r="C84" s="25">
        <v>0.31653199999999998</v>
      </c>
      <c r="F84" s="96">
        <f t="shared" si="4"/>
        <v>1.7751979720483657</v>
      </c>
      <c r="J84" s="223"/>
    </row>
    <row r="85" spans="1:10" x14ac:dyDescent="0.25">
      <c r="A85" s="14">
        <v>44013</v>
      </c>
      <c r="B85" s="25">
        <v>0.18218599999999999</v>
      </c>
      <c r="C85" s="25">
        <v>0.31456600000000001</v>
      </c>
      <c r="F85" s="96">
        <f t="shared" si="4"/>
        <v>1.7266200476436171</v>
      </c>
      <c r="J85" s="223"/>
    </row>
    <row r="86" spans="1:10" x14ac:dyDescent="0.25">
      <c r="A86" s="14">
        <v>44044</v>
      </c>
      <c r="B86" s="25">
        <v>0.172039</v>
      </c>
      <c r="C86" s="25">
        <v>0.30146099999999998</v>
      </c>
      <c r="F86" s="96">
        <f t="shared" si="4"/>
        <v>1.7522829125953998</v>
      </c>
      <c r="J86" s="223"/>
    </row>
    <row r="87" spans="1:10" x14ac:dyDescent="0.25">
      <c r="A87" s="14">
        <v>44075</v>
      </c>
      <c r="B87" s="25">
        <v>0.163302</v>
      </c>
      <c r="C87" s="25">
        <v>0.29368100000000003</v>
      </c>
      <c r="F87" s="96">
        <f t="shared" si="4"/>
        <v>1.7983919364122916</v>
      </c>
      <c r="J87" s="223"/>
    </row>
    <row r="88" spans="1:10" x14ac:dyDescent="0.25">
      <c r="A88" s="14">
        <v>44105</v>
      </c>
      <c r="B88" s="25">
        <v>0.160167</v>
      </c>
      <c r="C88" s="25">
        <v>0.29680899999999999</v>
      </c>
      <c r="F88" s="96">
        <f t="shared" si="4"/>
        <v>1.8531220538562874</v>
      </c>
      <c r="J88" s="223"/>
    </row>
    <row r="89" spans="1:10" x14ac:dyDescent="0.25">
      <c r="A89" s="14">
        <v>44136</v>
      </c>
      <c r="B89" s="25">
        <v>0.15969</v>
      </c>
      <c r="C89" s="25">
        <v>0.29976000000000003</v>
      </c>
      <c r="F89" s="96">
        <f t="shared" si="4"/>
        <v>1.8771369528461397</v>
      </c>
      <c r="J89" s="223"/>
    </row>
    <row r="90" spans="1:10"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3"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c r="B134" s="25"/>
      <c r="C134" s="25"/>
      <c r="F134" s="256"/>
    </row>
    <row r="135" spans="1:6" x14ac:dyDescent="0.25">
      <c r="A135" s="14"/>
      <c r="B135" s="25"/>
      <c r="C135" s="25"/>
      <c r="F135" s="256"/>
    </row>
    <row r="136" spans="1:6" x14ac:dyDescent="0.25">
      <c r="A136" s="14"/>
      <c r="B136" s="25"/>
      <c r="C136" s="25"/>
      <c r="F136" s="256"/>
    </row>
    <row r="137" spans="1:6" x14ac:dyDescent="0.25">
      <c r="A137" s="14"/>
      <c r="B137" s="25"/>
      <c r="C137" s="25"/>
      <c r="F137" s="256"/>
    </row>
    <row r="138" spans="1:6" x14ac:dyDescent="0.25">
      <c r="A138" s="14"/>
      <c r="B138" s="25"/>
      <c r="C138" s="25"/>
      <c r="F138" s="256"/>
    </row>
    <row r="139" spans="1:6" x14ac:dyDescent="0.25">
      <c r="A139" s="257"/>
    </row>
    <row r="140" spans="1:6" ht="90" x14ac:dyDescent="0.25">
      <c r="A140" s="27">
        <f>Pooling_Month</f>
        <v>45536</v>
      </c>
      <c r="B140" s="20" t="s">
        <v>134</v>
      </c>
      <c r="C140" s="20" t="s">
        <v>135</v>
      </c>
    </row>
    <row r="141" spans="1:6" x14ac:dyDescent="0.25">
      <c r="A141" s="31" t="s">
        <v>60</v>
      </c>
      <c r="B141" s="32">
        <v>0.23979099999999998</v>
      </c>
      <c r="C141" s="32">
        <v>0.38734900000000005</v>
      </c>
      <c r="E141" s="30"/>
      <c r="F141" s="96">
        <f t="shared" ref="F141" si="8">C141/B141</f>
        <v>1.6153608767635153</v>
      </c>
    </row>
    <row r="142" spans="1:6" ht="18" customHeight="1" x14ac:dyDescent="0.25"/>
    <row r="143" spans="1:6" hidden="1" x14ac:dyDescent="0.25">
      <c r="E143" t="s">
        <v>196</v>
      </c>
    </row>
    <row r="144" spans="1:6" ht="30" hidden="1" x14ac:dyDescent="0.25">
      <c r="A144" s="40" t="s">
        <v>202</v>
      </c>
      <c r="B144" s="95">
        <f>B123-B121</f>
        <v>5.9453999999999979E-2</v>
      </c>
      <c r="C144" s="95">
        <f>C123-C121</f>
        <v>9.3481000000000036E-2</v>
      </c>
      <c r="F144" t="s">
        <v>191</v>
      </c>
    </row>
    <row r="145" spans="1:6" hidden="1" x14ac:dyDescent="0.25">
      <c r="A145" s="93" t="s">
        <v>209</v>
      </c>
      <c r="B145" s="95">
        <f>B133</f>
        <v>0.180337</v>
      </c>
      <c r="C145" s="95">
        <f>C133</f>
        <v>0.29386800000000002</v>
      </c>
      <c r="F145" s="256">
        <f t="shared" ref="F145" si="9">C145/B145</f>
        <v>1.6295491219217355</v>
      </c>
    </row>
    <row r="146" spans="1:6" hidden="1" x14ac:dyDescent="0.25">
      <c r="A146" s="91" t="s">
        <v>203</v>
      </c>
      <c r="B146" s="95">
        <f>SUM(B144:B145)</f>
        <v>0.23979099999999998</v>
      </c>
      <c r="C146" s="95">
        <f>SUM(C144:C145)</f>
        <v>0.38734900000000005</v>
      </c>
      <c r="F146" s="96">
        <f t="shared" ref="F146:F147" si="10">C146/B146</f>
        <v>1.6153608767635153</v>
      </c>
    </row>
    <row r="147" spans="1:6" hidden="1" x14ac:dyDescent="0.25">
      <c r="A147" s="92" t="s">
        <v>204</v>
      </c>
      <c r="B147" s="95">
        <f>B123</f>
        <v>0.28491499999999997</v>
      </c>
      <c r="C147" s="95">
        <f>C123</f>
        <v>0.47492000000000001</v>
      </c>
      <c r="F147" s="96">
        <f t="shared" si="10"/>
        <v>1.6668831054876017</v>
      </c>
    </row>
    <row r="148" spans="1:6" hidden="1" x14ac:dyDescent="0.25">
      <c r="A148" t="s">
        <v>84</v>
      </c>
      <c r="B148" s="95">
        <f>AVERAGE(B146:B147)</f>
        <v>0.26235299999999995</v>
      </c>
      <c r="C148" s="95">
        <f>AVERAGE(C146:C147)</f>
        <v>0.43113450000000003</v>
      </c>
      <c r="F148" s="96">
        <f>C148/B148</f>
        <v>1.6433374118077557</v>
      </c>
    </row>
    <row r="149" spans="1:6" hidden="1" x14ac:dyDescent="0.25">
      <c r="B149" s="95"/>
      <c r="C149" s="95"/>
      <c r="F149" s="96" t="e">
        <f t="shared" ref="F149" si="11">C149/B149</f>
        <v>#DIV/0!</v>
      </c>
    </row>
    <row r="150" spans="1:6" hidden="1" x14ac:dyDescent="0.25">
      <c r="A150" s="92" t="s">
        <v>205</v>
      </c>
      <c r="B150" s="95">
        <f>B111</f>
        <v>0.29428100000000001</v>
      </c>
      <c r="C150" s="95">
        <f>C111</f>
        <v>0.278117</v>
      </c>
      <c r="F150" s="97" t="e">
        <f>AVERAGE(F146:F149)</f>
        <v>#DIV/0!</v>
      </c>
    </row>
    <row r="151" spans="1:6" hidden="1" x14ac:dyDescent="0.25">
      <c r="A151" s="91" t="s">
        <v>206</v>
      </c>
      <c r="B151" s="25">
        <f>B99</f>
        <v>0.18661700000000001</v>
      </c>
      <c r="C151" s="25">
        <f>C99</f>
        <v>0.32521299999999997</v>
      </c>
    </row>
    <row r="152" spans="1:6" hidden="1" x14ac:dyDescent="0.25">
      <c r="A152" s="40" t="s">
        <v>207</v>
      </c>
      <c r="B152" s="25">
        <f>AVERAGE(B146,B147,B150,B151)</f>
        <v>0.25140099999999999</v>
      </c>
      <c r="C152" s="25">
        <f>AVERAGE(C146,C147,C150,C151)</f>
        <v>0.36639975000000002</v>
      </c>
      <c r="F152" s="96">
        <f>C152/B152</f>
        <v>1.4574315535737727</v>
      </c>
    </row>
    <row r="153" spans="1:6" hidden="1" x14ac:dyDescent="0.25">
      <c r="A153" s="40" t="s">
        <v>208</v>
      </c>
      <c r="B153" s="25">
        <f>AVERAGE(B146,B147,B150)</f>
        <v>0.27299566666666664</v>
      </c>
      <c r="C153" s="25">
        <f>AVERAGE(C146,C147,C150)</f>
        <v>0.38012866666666673</v>
      </c>
      <c r="F153" s="96">
        <f>C153/B153</f>
        <v>1.3924348005523901</v>
      </c>
    </row>
    <row r="154" spans="1:6" hidden="1" x14ac:dyDescent="0.25"/>
  </sheetData>
  <sheetProtection algorithmName="SHA-512" hashValue="DgH1WIQQwDVmTSsJWdqjQXgSbBI9i9iy9bTurKw+QU36pmMMEaKHfhowyvHJG+N1lFeBYTofhFUfuDGvIzQuwg==" saltValue="c/AbfUaL5KwHHqSCXG6/2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6"/>
  <sheetViews>
    <sheetView zoomScaleNormal="100" workbookViewId="0">
      <pane ySplit="1" topLeftCell="A97" activePane="bottomLeft" state="frozen"/>
      <selection pane="bottomLeft" activeCell="E113" sqref="E113"/>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136</v>
      </c>
      <c r="D1" s="216" t="s">
        <v>144</v>
      </c>
      <c r="E1" s="4"/>
    </row>
    <row r="2" spans="1:5" x14ac:dyDescent="0.25">
      <c r="A2" s="15">
        <v>42278</v>
      </c>
      <c r="B2" s="25">
        <v>0.30533199999999999</v>
      </c>
      <c r="D2" s="25"/>
      <c r="E2" s="25"/>
    </row>
    <row r="3" spans="1:5" x14ac:dyDescent="0.25">
      <c r="A3" s="15">
        <v>42309</v>
      </c>
      <c r="B3" s="25">
        <v>0.291993</v>
      </c>
      <c r="D3" s="25"/>
      <c r="E3" s="25"/>
    </row>
    <row r="4" spans="1:5" x14ac:dyDescent="0.25">
      <c r="A4" s="15">
        <v>42339</v>
      </c>
      <c r="B4" s="25">
        <v>0.245638</v>
      </c>
      <c r="D4" s="25"/>
    </row>
    <row r="5" spans="1:5" x14ac:dyDescent="0.25">
      <c r="A5" s="15">
        <v>42370</v>
      </c>
      <c r="B5" s="25">
        <v>0.28391100000000002</v>
      </c>
      <c r="D5" s="25"/>
    </row>
    <row r="6" spans="1:5" x14ac:dyDescent="0.25">
      <c r="A6" s="15">
        <v>42401</v>
      </c>
      <c r="B6" s="25">
        <v>0.261324</v>
      </c>
      <c r="D6" s="25"/>
    </row>
    <row r="7" spans="1:5" x14ac:dyDescent="0.25">
      <c r="A7" s="15">
        <v>42430</v>
      </c>
      <c r="B7" s="25">
        <v>0.27588800000000002</v>
      </c>
      <c r="D7" s="25"/>
    </row>
    <row r="8" spans="1:5" x14ac:dyDescent="0.25">
      <c r="A8" s="15">
        <v>42461</v>
      </c>
      <c r="B8" s="25">
        <v>0.26678499999999999</v>
      </c>
      <c r="D8" s="25"/>
    </row>
    <row r="9" spans="1:5" x14ac:dyDescent="0.25">
      <c r="A9" s="15">
        <v>42491</v>
      </c>
      <c r="B9" s="25">
        <v>0.25852199999999997</v>
      </c>
      <c r="D9" s="25"/>
    </row>
    <row r="10" spans="1:5" x14ac:dyDescent="0.25">
      <c r="A10" s="15">
        <v>42522</v>
      </c>
      <c r="B10" s="25">
        <v>0.20880000000000001</v>
      </c>
      <c r="D10" s="25"/>
    </row>
    <row r="11" spans="1:5" x14ac:dyDescent="0.25">
      <c r="A11" s="15">
        <v>42552</v>
      </c>
      <c r="B11" s="25">
        <v>0.20453099999999999</v>
      </c>
      <c r="D11" s="25"/>
    </row>
    <row r="12" spans="1:5" x14ac:dyDescent="0.25">
      <c r="A12" s="15">
        <v>42583</v>
      </c>
      <c r="B12" s="25">
        <v>0.21943199999999999</v>
      </c>
      <c r="D12" s="25"/>
    </row>
    <row r="13" spans="1:5" x14ac:dyDescent="0.25">
      <c r="A13" s="15">
        <v>42614</v>
      </c>
      <c r="B13" s="25">
        <v>0.229134</v>
      </c>
      <c r="D13" s="25"/>
    </row>
    <row r="14" spans="1:5" x14ac:dyDescent="0.25">
      <c r="A14" s="15">
        <v>42644</v>
      </c>
      <c r="B14" s="25">
        <v>0.182896</v>
      </c>
      <c r="D14" s="25"/>
    </row>
    <row r="15" spans="1:5" x14ac:dyDescent="0.25">
      <c r="A15" s="15">
        <v>42675</v>
      </c>
      <c r="B15" s="25">
        <v>0.16356200000000001</v>
      </c>
      <c r="D15" s="25"/>
    </row>
    <row r="16" spans="1:5" x14ac:dyDescent="0.25">
      <c r="A16" s="15">
        <v>42705</v>
      </c>
      <c r="B16" s="25">
        <v>0.21603600000000001</v>
      </c>
      <c r="D16" s="25"/>
    </row>
    <row r="17" spans="1:4" x14ac:dyDescent="0.25">
      <c r="A17" s="15">
        <v>42736</v>
      </c>
      <c r="B17" s="25">
        <v>0.191916</v>
      </c>
      <c r="D17" s="25"/>
    </row>
    <row r="18" spans="1:4" x14ac:dyDescent="0.25">
      <c r="A18" s="15">
        <v>42767</v>
      </c>
      <c r="B18" s="25">
        <v>0.22883700000000001</v>
      </c>
      <c r="D18" s="25"/>
    </row>
    <row r="19" spans="1:4" x14ac:dyDescent="0.25">
      <c r="A19" s="15">
        <v>42795</v>
      </c>
      <c r="B19" s="25">
        <v>0.221411</v>
      </c>
      <c r="D19" s="25"/>
    </row>
    <row r="20" spans="1:4" x14ac:dyDescent="0.25">
      <c r="A20" s="15">
        <v>42826</v>
      </c>
      <c r="B20" s="25">
        <v>0.21291299999999999</v>
      </c>
      <c r="D20" s="25"/>
    </row>
    <row r="21" spans="1:4" x14ac:dyDescent="0.25">
      <c r="A21" s="15">
        <v>42856</v>
      </c>
      <c r="B21" s="25">
        <v>0.211672</v>
      </c>
      <c r="D21" s="25"/>
    </row>
    <row r="22" spans="1:4" x14ac:dyDescent="0.25">
      <c r="A22" s="15">
        <v>42887</v>
      </c>
      <c r="B22" s="25">
        <v>0.19661999999999999</v>
      </c>
      <c r="D22" s="25"/>
    </row>
    <row r="23" spans="1:4" x14ac:dyDescent="0.25">
      <c r="A23" s="15">
        <v>42917</v>
      </c>
      <c r="B23" s="25">
        <v>0.191581</v>
      </c>
      <c r="D23" s="25"/>
    </row>
    <row r="24" spans="1:4" x14ac:dyDescent="0.25">
      <c r="A24" s="15">
        <v>42948</v>
      </c>
      <c r="B24" s="25">
        <v>0.210429</v>
      </c>
      <c r="D24" s="25"/>
    </row>
    <row r="25" spans="1:4" x14ac:dyDescent="0.25">
      <c r="A25" s="15">
        <v>42979</v>
      </c>
      <c r="B25" s="25">
        <v>0.236261</v>
      </c>
      <c r="D25" s="25"/>
    </row>
    <row r="26" spans="1:4" x14ac:dyDescent="0.25">
      <c r="A26" s="15">
        <v>43009</v>
      </c>
      <c r="B26" s="25">
        <v>0.17718300000000001</v>
      </c>
      <c r="D26" s="25"/>
    </row>
    <row r="27" spans="1:4" x14ac:dyDescent="0.25">
      <c r="A27" s="15">
        <v>43040</v>
      </c>
      <c r="B27" s="25">
        <v>0.21789600000000001</v>
      </c>
      <c r="D27" s="25"/>
    </row>
    <row r="28" spans="1:4" x14ac:dyDescent="0.25">
      <c r="A28" s="15">
        <v>43070</v>
      </c>
      <c r="B28" s="25">
        <v>0.24127499999999999</v>
      </c>
      <c r="D28" s="25"/>
    </row>
    <row r="29" spans="1:4" x14ac:dyDescent="0.25">
      <c r="A29" s="15">
        <v>43101</v>
      </c>
      <c r="B29" s="25">
        <v>0.2137</v>
      </c>
      <c r="D29" s="25"/>
    </row>
    <row r="30" spans="1:4" x14ac:dyDescent="0.25">
      <c r="A30" s="15">
        <v>43132</v>
      </c>
      <c r="B30" s="25">
        <v>0.21845999999999999</v>
      </c>
      <c r="D30" s="25"/>
    </row>
    <row r="31" spans="1:4" x14ac:dyDescent="0.25">
      <c r="A31" s="15">
        <v>43160</v>
      </c>
      <c r="B31" s="25">
        <v>0.20913200000000001</v>
      </c>
      <c r="D31" s="25"/>
    </row>
    <row r="32" spans="1:4" x14ac:dyDescent="0.25">
      <c r="A32" s="15">
        <v>43191</v>
      </c>
      <c r="B32" s="25">
        <v>0.18951999999999999</v>
      </c>
      <c r="D32" s="25"/>
    </row>
    <row r="33" spans="1:6" x14ac:dyDescent="0.25">
      <c r="A33" s="15">
        <v>43221</v>
      </c>
      <c r="B33" s="25">
        <v>0.185444</v>
      </c>
      <c r="D33" s="25"/>
    </row>
    <row r="34" spans="1:6" x14ac:dyDescent="0.25">
      <c r="A34" s="15">
        <v>43252</v>
      </c>
      <c r="B34" s="25">
        <v>0.180114</v>
      </c>
      <c r="D34" s="25"/>
    </row>
    <row r="35" spans="1:6" x14ac:dyDescent="0.25">
      <c r="A35" s="15">
        <v>43282</v>
      </c>
      <c r="B35" s="25">
        <v>0.17179700000000001</v>
      </c>
      <c r="D35" s="25"/>
    </row>
    <row r="36" spans="1:6" x14ac:dyDescent="0.25">
      <c r="A36" s="15">
        <v>43313</v>
      </c>
      <c r="B36" s="25">
        <v>0.20078299999999999</v>
      </c>
      <c r="D36" s="25"/>
      <c r="E36" s="95"/>
      <c r="F36" s="25"/>
    </row>
    <row r="37" spans="1:6" x14ac:dyDescent="0.25">
      <c r="A37" s="15">
        <v>43344</v>
      </c>
      <c r="B37" s="25">
        <v>0.19520000000000001</v>
      </c>
      <c r="D37" s="25"/>
      <c r="E37" s="95"/>
      <c r="F37" s="25"/>
    </row>
    <row r="38" spans="1:6" x14ac:dyDescent="0.25">
      <c r="A38" s="15">
        <v>43374</v>
      </c>
      <c r="B38" s="25">
        <v>0.118899</v>
      </c>
      <c r="D38" s="25"/>
      <c r="E38" s="95"/>
      <c r="F38" s="25"/>
    </row>
    <row r="39" spans="1:6" x14ac:dyDescent="0.25">
      <c r="A39" s="15">
        <v>43405</v>
      </c>
      <c r="B39" s="25">
        <v>0.16769200000000001</v>
      </c>
      <c r="D39" s="25"/>
      <c r="E39" s="95"/>
      <c r="F39" s="25"/>
    </row>
    <row r="40" spans="1:6" x14ac:dyDescent="0.25">
      <c r="A40" s="15">
        <v>43435</v>
      </c>
      <c r="B40" s="25">
        <v>0.12795599999999999</v>
      </c>
      <c r="D40" s="25"/>
      <c r="E40" s="95"/>
      <c r="F40" s="25"/>
    </row>
    <row r="41" spans="1:6" x14ac:dyDescent="0.25">
      <c r="A41" s="15">
        <v>43466</v>
      </c>
      <c r="B41" s="25">
        <v>0.17980299999999999</v>
      </c>
      <c r="D41" s="25"/>
      <c r="E41" s="95"/>
      <c r="F41" s="25"/>
    </row>
    <row r="42" spans="1:6" x14ac:dyDescent="0.25">
      <c r="A42" s="15">
        <v>43497</v>
      </c>
      <c r="B42" s="25">
        <v>0.19983300000000001</v>
      </c>
      <c r="D42" s="25"/>
      <c r="E42" s="95"/>
      <c r="F42" s="25"/>
    </row>
    <row r="43" spans="1:6" x14ac:dyDescent="0.25">
      <c r="A43" s="15">
        <v>43525</v>
      </c>
      <c r="B43" s="25">
        <v>0.19770399999999999</v>
      </c>
      <c r="D43" s="25"/>
      <c r="E43" s="95"/>
      <c r="F43" s="25"/>
    </row>
    <row r="44" spans="1:6" x14ac:dyDescent="0.25">
      <c r="A44" s="15">
        <v>43556</v>
      </c>
      <c r="B44" s="25">
        <v>0.192409</v>
      </c>
      <c r="D44" s="25"/>
      <c r="E44" s="95"/>
      <c r="F44" s="25"/>
    </row>
    <row r="45" spans="1:6" x14ac:dyDescent="0.25">
      <c r="A45" s="15">
        <v>43586</v>
      </c>
      <c r="B45" s="25">
        <v>0.17879999999999999</v>
      </c>
      <c r="D45" s="25"/>
      <c r="E45" s="95"/>
      <c r="F45" s="25"/>
    </row>
    <row r="46" spans="1:6" x14ac:dyDescent="0.25">
      <c r="A46" s="15">
        <v>43617</v>
      </c>
      <c r="B46" s="25">
        <v>0.13753799999999999</v>
      </c>
      <c r="D46" s="25"/>
      <c r="E46" s="95"/>
      <c r="F46" s="25"/>
    </row>
    <row r="47" spans="1:6" x14ac:dyDescent="0.25">
      <c r="A47" s="15">
        <v>43647</v>
      </c>
      <c r="B47" s="25">
        <v>0.15816</v>
      </c>
      <c r="D47" s="25"/>
      <c r="E47" s="95"/>
      <c r="F47" s="25"/>
    </row>
    <row r="48" spans="1:6" x14ac:dyDescent="0.25">
      <c r="A48" s="15">
        <v>43678</v>
      </c>
      <c r="B48" s="25">
        <v>0.158776</v>
      </c>
      <c r="D48" s="25"/>
      <c r="E48" s="95"/>
      <c r="F48" s="25"/>
    </row>
    <row r="49" spans="1:6" x14ac:dyDescent="0.25">
      <c r="A49" s="15">
        <v>43709</v>
      </c>
      <c r="B49" s="25">
        <v>0.170652</v>
      </c>
      <c r="D49" s="25"/>
      <c r="E49" s="95"/>
      <c r="F49" s="25"/>
    </row>
    <row r="50" spans="1:6" x14ac:dyDescent="0.25">
      <c r="A50" s="15">
        <v>43739</v>
      </c>
      <c r="B50" s="25">
        <v>0.183697</v>
      </c>
      <c r="D50" s="25"/>
      <c r="E50" s="95"/>
      <c r="F50" s="25"/>
    </row>
    <row r="51" spans="1:6" x14ac:dyDescent="0.25">
      <c r="A51" s="15">
        <v>43770</v>
      </c>
      <c r="B51" s="25">
        <v>0.13302600000000001</v>
      </c>
      <c r="D51" s="25"/>
      <c r="E51" s="95"/>
      <c r="F51" s="25"/>
    </row>
    <row r="52" spans="1:6" x14ac:dyDescent="0.25">
      <c r="A52" s="15">
        <v>43800</v>
      </c>
      <c r="B52" s="25">
        <v>0.17793600000000001</v>
      </c>
      <c r="D52" s="25"/>
      <c r="E52" s="95"/>
      <c r="F52" s="25"/>
    </row>
    <row r="53" spans="1:6" x14ac:dyDescent="0.25">
      <c r="A53" s="15">
        <v>43831</v>
      </c>
      <c r="B53" s="25">
        <v>0.179538</v>
      </c>
      <c r="D53" s="25"/>
      <c r="E53" s="95"/>
      <c r="F53" s="25"/>
    </row>
    <row r="54" spans="1:6" x14ac:dyDescent="0.25">
      <c r="A54" s="15">
        <v>43862</v>
      </c>
      <c r="B54" s="25">
        <v>0.18820300000000001</v>
      </c>
      <c r="D54" s="25"/>
      <c r="E54" s="95"/>
      <c r="F54" s="25"/>
    </row>
    <row r="55" spans="1:6" x14ac:dyDescent="0.25">
      <c r="A55" s="15">
        <v>43891</v>
      </c>
      <c r="B55" s="25">
        <v>0.137018</v>
      </c>
      <c r="D55" s="25"/>
      <c r="E55" s="95"/>
      <c r="F55" s="25"/>
    </row>
    <row r="56" spans="1:6" x14ac:dyDescent="0.25">
      <c r="A56" s="15">
        <v>43922</v>
      </c>
      <c r="B56" s="25">
        <v>0.18280199999999999</v>
      </c>
      <c r="D56" s="25"/>
      <c r="E56" s="95"/>
      <c r="F56" s="25"/>
    </row>
    <row r="57" spans="1:6" x14ac:dyDescent="0.25">
      <c r="A57" s="15">
        <v>43952</v>
      </c>
      <c r="B57" s="25">
        <v>0.16561400000000001</v>
      </c>
      <c r="D57" s="25"/>
      <c r="E57" s="95"/>
      <c r="F57" s="25"/>
    </row>
    <row r="58" spans="1:6" x14ac:dyDescent="0.25">
      <c r="A58" s="15">
        <v>43983</v>
      </c>
      <c r="B58" s="25">
        <v>0.14563899999999999</v>
      </c>
      <c r="D58" s="25"/>
      <c r="E58" s="95"/>
      <c r="F58" s="25"/>
    </row>
    <row r="59" spans="1:6" x14ac:dyDescent="0.25">
      <c r="A59" s="15">
        <v>44013</v>
      </c>
      <c r="B59" s="25">
        <v>0.15210299999999999</v>
      </c>
      <c r="D59" s="25"/>
      <c r="E59" s="95"/>
      <c r="F59" s="25"/>
    </row>
    <row r="60" spans="1:6" x14ac:dyDescent="0.25">
      <c r="A60" s="15">
        <v>44044</v>
      </c>
      <c r="B60" s="25">
        <v>0.15692800000000001</v>
      </c>
      <c r="D60" s="25"/>
      <c r="E60" s="95"/>
      <c r="F60" s="25"/>
    </row>
    <row r="61" spans="1:6" x14ac:dyDescent="0.25">
      <c r="A61" s="15">
        <v>44075</v>
      </c>
      <c r="B61" s="25">
        <v>0.15432000000000001</v>
      </c>
      <c r="D61" s="25"/>
      <c r="E61" s="95"/>
      <c r="F61" s="25"/>
    </row>
    <row r="62" spans="1:6" x14ac:dyDescent="0.25">
      <c r="A62" s="15">
        <v>44105</v>
      </c>
      <c r="B62" s="25">
        <v>0.114077</v>
      </c>
      <c r="D62" s="25"/>
      <c r="E62" s="95"/>
      <c r="F62" s="25"/>
    </row>
    <row r="63" spans="1:6" x14ac:dyDescent="0.25">
      <c r="A63" s="15">
        <v>44136</v>
      </c>
      <c r="B63" s="25">
        <v>0.102104</v>
      </c>
      <c r="D63" s="25"/>
      <c r="E63" s="95"/>
      <c r="F63" s="25"/>
    </row>
    <row r="64" spans="1:6"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c r="B108" s="25"/>
    </row>
    <row r="109" spans="1:2" x14ac:dyDescent="0.25">
      <c r="A109" s="15"/>
      <c r="B109" s="25"/>
    </row>
    <row r="110" spans="1:2" x14ac:dyDescent="0.25">
      <c r="A110" s="15"/>
      <c r="B110" s="25"/>
    </row>
    <row r="111" spans="1:2" x14ac:dyDescent="0.25">
      <c r="A111" s="15"/>
      <c r="B111" s="25"/>
    </row>
    <row r="112" spans="1:2" x14ac:dyDescent="0.25">
      <c r="A112" s="15"/>
      <c r="B112" s="25"/>
    </row>
    <row r="113" spans="1:17" x14ac:dyDescent="0.25">
      <c r="A113" s="15"/>
      <c r="B113" s="25"/>
    </row>
    <row r="114" spans="1:17" ht="75" x14ac:dyDescent="0.25">
      <c r="A114" s="27">
        <f>Pooling_Month</f>
        <v>45536</v>
      </c>
      <c r="B114" s="20" t="s">
        <v>137</v>
      </c>
    </row>
    <row r="115" spans="1:17" x14ac:dyDescent="0.25">
      <c r="A115" s="31" t="s">
        <v>60</v>
      </c>
      <c r="B115" s="261">
        <v>0.318824</v>
      </c>
    </row>
    <row r="116" spans="1:17" ht="13.5" customHeight="1" x14ac:dyDescent="0.25"/>
    <row r="118" spans="1:17" ht="30" hidden="1" x14ac:dyDescent="0.25">
      <c r="A118" s="40" t="s">
        <v>202</v>
      </c>
      <c r="B118" s="95">
        <f>B97-B95</f>
        <v>-0.19633699999999998</v>
      </c>
    </row>
    <row r="119" spans="1:17" hidden="1" x14ac:dyDescent="0.25">
      <c r="A119" s="93" t="s">
        <v>209</v>
      </c>
      <c r="B119" s="95">
        <f>B107</f>
        <v>0.31423099999999998</v>
      </c>
      <c r="J119" t="s">
        <v>197</v>
      </c>
    </row>
    <row r="120" spans="1:17" hidden="1" x14ac:dyDescent="0.25">
      <c r="A120" s="91" t="s">
        <v>203</v>
      </c>
      <c r="B120" s="95">
        <f>SUM(B118:B119)</f>
        <v>0.117894</v>
      </c>
      <c r="C120" s="3" t="s">
        <v>213</v>
      </c>
      <c r="D120" s="3"/>
      <c r="E120" s="3"/>
      <c r="F120" s="3"/>
      <c r="G120" s="3"/>
      <c r="H120" s="3"/>
      <c r="I120" s="3"/>
      <c r="J120" s="3"/>
      <c r="K120" s="3"/>
      <c r="L120" s="3"/>
      <c r="M120" s="3"/>
      <c r="N120" s="3"/>
      <c r="O120" s="3"/>
      <c r="P120" s="3"/>
      <c r="Q120" s="3"/>
    </row>
    <row r="121" spans="1:17" hidden="1" x14ac:dyDescent="0.25">
      <c r="A121" s="92" t="s">
        <v>204</v>
      </c>
      <c r="B121" s="95">
        <f>B97</f>
        <v>0.205092</v>
      </c>
      <c r="C121" s="3"/>
      <c r="D121" s="3"/>
      <c r="E121" s="3"/>
      <c r="F121" s="3"/>
      <c r="G121" s="3"/>
      <c r="H121" s="3"/>
      <c r="I121" s="3"/>
      <c r="J121" s="3"/>
      <c r="K121" s="3"/>
      <c r="L121" s="3"/>
      <c r="M121" s="3"/>
      <c r="N121" s="3"/>
      <c r="O121" s="3"/>
      <c r="P121" s="3"/>
      <c r="Q121" s="3"/>
    </row>
    <row r="122" spans="1:17" hidden="1" x14ac:dyDescent="0.25">
      <c r="A122" t="s">
        <v>84</v>
      </c>
      <c r="B122" s="25">
        <f>AVERAGE(B120:B121)</f>
        <v>0.161493</v>
      </c>
    </row>
    <row r="123" spans="1:17" hidden="1" x14ac:dyDescent="0.25"/>
    <row r="124" spans="1:17" hidden="1" x14ac:dyDescent="0.25">
      <c r="A124" s="92" t="s">
        <v>205</v>
      </c>
      <c r="B124" s="25">
        <f>B85</f>
        <v>0.14147799999999999</v>
      </c>
    </row>
    <row r="125" spans="1:17" hidden="1" x14ac:dyDescent="0.25">
      <c r="A125" t="s">
        <v>86</v>
      </c>
      <c r="B125" s="25">
        <f>AVERAGE(B120:B121,B124)</f>
        <v>0.15482133333333334</v>
      </c>
    </row>
    <row r="126" spans="1:17" hidden="1" x14ac:dyDescent="0.25"/>
  </sheetData>
  <sheetProtection algorithmName="SHA-512" hashValue="oZeQupb55cmNaaNp24x/hLqIpuPbaUfoU9GgiuhMl/2PHG5gUePvhwJjs9+Bg/gxePMf+Ku9ufUXD02MbG+Ksw==" saltValue="ZNpAmABfI5lLm02xsRIaN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5"/>
  <sheetViews>
    <sheetView workbookViewId="0">
      <pane ySplit="1" topLeftCell="A128" activePane="bottomLeft" state="frozen"/>
      <selection pane="bottomLeft" activeCell="C158" sqref="C158"/>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141</v>
      </c>
      <c r="C1" s="4"/>
      <c r="D1" s="4"/>
      <c r="E1" s="4"/>
      <c r="F1" s="4"/>
    </row>
    <row r="2" spans="1:6" x14ac:dyDescent="0.25">
      <c r="A2" s="14">
        <v>41579</v>
      </c>
      <c r="B2" s="25">
        <v>7.554E-3</v>
      </c>
    </row>
    <row r="3" spans="1:6" x14ac:dyDescent="0.25">
      <c r="A3" s="14">
        <v>41609</v>
      </c>
      <c r="B3" s="25">
        <v>2.9475999999999999E-2</v>
      </c>
    </row>
    <row r="4" spans="1:6" x14ac:dyDescent="0.25">
      <c r="A4" s="14">
        <v>41640</v>
      </c>
      <c r="B4" s="25">
        <v>2.8667000000000002E-2</v>
      </c>
    </row>
    <row r="5" spans="1:6" x14ac:dyDescent="0.25">
      <c r="A5" s="14">
        <v>41671</v>
      </c>
      <c r="B5" s="25">
        <v>4.5931E-2</v>
      </c>
    </row>
    <row r="6" spans="1:6" x14ac:dyDescent="0.25">
      <c r="A6" s="14">
        <v>41699</v>
      </c>
      <c r="B6" s="25">
        <v>6.7464999999999997E-2</v>
      </c>
    </row>
    <row r="7" spans="1:6" x14ac:dyDescent="0.25">
      <c r="A7" s="14">
        <v>41730</v>
      </c>
      <c r="B7" s="25">
        <v>8.2623000000000002E-2</v>
      </c>
    </row>
    <row r="8" spans="1:6" x14ac:dyDescent="0.25">
      <c r="A8" s="14">
        <v>41760</v>
      </c>
      <c r="B8" s="25">
        <v>0.14266000000000001</v>
      </c>
    </row>
    <row r="9" spans="1:6" x14ac:dyDescent="0.25">
      <c r="A9" s="14">
        <v>41791</v>
      </c>
      <c r="B9" s="25">
        <v>0.19531799999999999</v>
      </c>
    </row>
    <row r="10" spans="1:6" x14ac:dyDescent="0.25">
      <c r="A10" s="14">
        <v>41821</v>
      </c>
      <c r="B10" s="25">
        <v>0.149753</v>
      </c>
    </row>
    <row r="11" spans="1:6" x14ac:dyDescent="0.25">
      <c r="A11" s="14">
        <v>41852</v>
      </c>
      <c r="B11" s="25">
        <v>0.116357</v>
      </c>
    </row>
    <row r="12" spans="1:6" x14ac:dyDescent="0.25">
      <c r="A12" s="14">
        <v>41883</v>
      </c>
      <c r="B12" s="25">
        <v>5.0255000000000001E-2</v>
      </c>
    </row>
    <row r="13" spans="1:6" x14ac:dyDescent="0.25">
      <c r="A13" s="14">
        <v>41913</v>
      </c>
      <c r="B13" s="25">
        <v>3.4869999999999998E-2</v>
      </c>
    </row>
    <row r="14" spans="1:6" x14ac:dyDescent="0.25">
      <c r="A14" s="14">
        <v>41944</v>
      </c>
      <c r="B14" s="25">
        <v>4.7017999999999997E-2</v>
      </c>
    </row>
    <row r="15" spans="1:6" x14ac:dyDescent="0.25">
      <c r="A15" s="14">
        <v>41974</v>
      </c>
      <c r="B15" s="25">
        <v>0.112259</v>
      </c>
    </row>
    <row r="16" spans="1:6" x14ac:dyDescent="0.25">
      <c r="A16" s="14">
        <v>42005</v>
      </c>
      <c r="B16" s="25">
        <v>6.8894999999999998E-2</v>
      </c>
    </row>
    <row r="17" spans="1:4" x14ac:dyDescent="0.25">
      <c r="A17" s="14">
        <v>42036</v>
      </c>
      <c r="B17" s="25">
        <v>9.6212000000000006E-2</v>
      </c>
    </row>
    <row r="18" spans="1:4" x14ac:dyDescent="0.25">
      <c r="A18" s="14">
        <v>42064</v>
      </c>
      <c r="B18" s="25">
        <v>0.110914</v>
      </c>
    </row>
    <row r="19" spans="1:4" x14ac:dyDescent="0.25">
      <c r="A19" s="14">
        <v>42095</v>
      </c>
      <c r="B19" s="25">
        <v>0.122809</v>
      </c>
    </row>
    <row r="20" spans="1:4" x14ac:dyDescent="0.25">
      <c r="A20" s="14">
        <v>42125</v>
      </c>
      <c r="B20" s="25">
        <v>0.13458500000000001</v>
      </c>
    </row>
    <row r="21" spans="1:4" x14ac:dyDescent="0.25">
      <c r="A21" s="14">
        <v>42156</v>
      </c>
      <c r="B21" s="25">
        <v>0.189001</v>
      </c>
    </row>
    <row r="22" spans="1:4" x14ac:dyDescent="0.25">
      <c r="A22" s="14">
        <v>42186</v>
      </c>
      <c r="B22" s="25">
        <v>0.13778699999999999</v>
      </c>
    </row>
    <row r="23" spans="1:4" x14ac:dyDescent="0.25">
      <c r="A23" s="14">
        <v>42217</v>
      </c>
      <c r="B23" s="25">
        <v>0.10169499999999999</v>
      </c>
    </row>
    <row r="24" spans="1:4" x14ac:dyDescent="0.25">
      <c r="A24" s="14">
        <v>42248</v>
      </c>
      <c r="B24" s="25">
        <v>5.6767999999999999E-2</v>
      </c>
    </row>
    <row r="25" spans="1:4" x14ac:dyDescent="0.25">
      <c r="A25" s="14">
        <v>42278</v>
      </c>
      <c r="B25" s="25">
        <v>5.2735999999999998E-2</v>
      </c>
    </row>
    <row r="26" spans="1:4" x14ac:dyDescent="0.25">
      <c r="A26" s="14">
        <v>42309</v>
      </c>
      <c r="B26" s="25">
        <v>4.2098999999999998E-2</v>
      </c>
    </row>
    <row r="27" spans="1:4" x14ac:dyDescent="0.25">
      <c r="A27" s="14">
        <v>42339</v>
      </c>
      <c r="B27" s="25">
        <v>6.4781000000000005E-2</v>
      </c>
      <c r="D27" s="25"/>
    </row>
    <row r="28" spans="1:4" x14ac:dyDescent="0.25">
      <c r="A28" s="14">
        <v>42370</v>
      </c>
      <c r="B28" s="25">
        <v>8.8657E-2</v>
      </c>
      <c r="D28" s="25"/>
    </row>
    <row r="29" spans="1:4" x14ac:dyDescent="0.25">
      <c r="A29" s="14">
        <v>42401</v>
      </c>
      <c r="B29" s="25">
        <v>7.8405000000000002E-2</v>
      </c>
      <c r="D29" s="25"/>
    </row>
    <row r="30" spans="1:4" x14ac:dyDescent="0.25">
      <c r="A30" s="14">
        <v>42430</v>
      </c>
      <c r="B30" s="25">
        <v>9.5011999999999999E-2</v>
      </c>
      <c r="D30" s="25"/>
    </row>
    <row r="31" spans="1:4" x14ac:dyDescent="0.25">
      <c r="A31" s="14">
        <v>42461</v>
      </c>
      <c r="B31" s="25">
        <v>0.103967</v>
      </c>
      <c r="D31" s="25"/>
    </row>
    <row r="32" spans="1:4" x14ac:dyDescent="0.25">
      <c r="A32" s="14">
        <v>42491</v>
      </c>
      <c r="B32" s="25">
        <v>0.120104</v>
      </c>
      <c r="D32" s="25"/>
    </row>
    <row r="33" spans="1:4" x14ac:dyDescent="0.25">
      <c r="A33" s="14">
        <v>42522</v>
      </c>
      <c r="B33" s="25">
        <v>0.15414700000000001</v>
      </c>
      <c r="D33" s="25"/>
    </row>
    <row r="34" spans="1:4" x14ac:dyDescent="0.25">
      <c r="A34" s="14">
        <v>42552</v>
      </c>
      <c r="B34" s="25">
        <v>0.12681400000000001</v>
      </c>
      <c r="D34" s="25"/>
    </row>
    <row r="35" spans="1:4" x14ac:dyDescent="0.25">
      <c r="A35" s="14">
        <v>42583</v>
      </c>
      <c r="B35" s="25">
        <v>6.7128999999999994E-2</v>
      </c>
      <c r="D35" s="25"/>
    </row>
    <row r="36" spans="1:4" x14ac:dyDescent="0.25">
      <c r="A36" s="14">
        <v>42614</v>
      </c>
      <c r="B36" s="25">
        <v>2.6270999999999999E-2</v>
      </c>
      <c r="D36" s="25"/>
    </row>
    <row r="37" spans="1:4" x14ac:dyDescent="0.25">
      <c r="A37" s="14">
        <v>42644</v>
      </c>
      <c r="B37" s="25">
        <v>1.9757E-2</v>
      </c>
      <c r="D37" s="25"/>
    </row>
    <row r="38" spans="1:4" x14ac:dyDescent="0.25">
      <c r="A38" s="14">
        <v>42675</v>
      </c>
      <c r="B38" s="25">
        <v>4.0516000000000003E-2</v>
      </c>
      <c r="D38" s="25"/>
    </row>
    <row r="39" spans="1:4" x14ac:dyDescent="0.25">
      <c r="A39" s="14">
        <v>42705</v>
      </c>
      <c r="B39" s="25">
        <v>3.2499E-2</v>
      </c>
      <c r="D39" s="25"/>
    </row>
    <row r="40" spans="1:4" x14ac:dyDescent="0.25">
      <c r="A40" s="14">
        <v>42736</v>
      </c>
      <c r="B40" s="25">
        <v>4.4687999999999999E-2</v>
      </c>
      <c r="D40" s="25"/>
    </row>
    <row r="41" spans="1:4" x14ac:dyDescent="0.25">
      <c r="A41" s="14">
        <v>42767</v>
      </c>
      <c r="B41" s="25">
        <v>3.6873999999999997E-2</v>
      </c>
      <c r="D41" s="25"/>
    </row>
    <row r="42" spans="1:4" x14ac:dyDescent="0.25">
      <c r="A42" s="14">
        <v>42795</v>
      </c>
      <c r="B42" s="25">
        <v>3.6135E-2</v>
      </c>
      <c r="D42" s="25"/>
    </row>
    <row r="43" spans="1:4" x14ac:dyDescent="0.25">
      <c r="A43" s="14">
        <v>42826</v>
      </c>
      <c r="B43" s="25">
        <v>6.0714999999999998E-2</v>
      </c>
      <c r="D43" s="25"/>
    </row>
    <row r="44" spans="1:4" x14ac:dyDescent="0.25">
      <c r="A44" s="14">
        <v>42856</v>
      </c>
      <c r="B44" s="25">
        <v>7.1289000000000005E-2</v>
      </c>
      <c r="D44" s="25"/>
    </row>
    <row r="45" spans="1:4" x14ac:dyDescent="0.25">
      <c r="A45" s="14">
        <v>42887</v>
      </c>
      <c r="B45" s="25">
        <v>0.116586</v>
      </c>
      <c r="D45" s="25"/>
    </row>
    <row r="46" spans="1:4" x14ac:dyDescent="0.25">
      <c r="A46" s="14">
        <v>42917</v>
      </c>
      <c r="B46" s="25">
        <v>0.115332</v>
      </c>
      <c r="D46" s="25"/>
    </row>
    <row r="47" spans="1:4" x14ac:dyDescent="0.25">
      <c r="A47" s="14">
        <v>42948</v>
      </c>
      <c r="B47" s="25">
        <v>4.7965000000000001E-2</v>
      </c>
      <c r="D47" s="25"/>
    </row>
    <row r="48" spans="1:4" x14ac:dyDescent="0.25">
      <c r="A48" s="14">
        <v>42979</v>
      </c>
      <c r="B48" s="25">
        <v>3.1913999999999998E-2</v>
      </c>
      <c r="D48" s="25"/>
    </row>
    <row r="49" spans="1:2" x14ac:dyDescent="0.25">
      <c r="A49" s="14">
        <v>43009</v>
      </c>
      <c r="B49" s="25">
        <v>1.9567000000000001E-2</v>
      </c>
    </row>
    <row r="50" spans="1:2" x14ac:dyDescent="0.25">
      <c r="A50" s="14">
        <v>43040</v>
      </c>
      <c r="B50" s="25">
        <v>1.6257000000000001E-2</v>
      </c>
    </row>
    <row r="51" spans="1:2" x14ac:dyDescent="0.25">
      <c r="A51" s="14">
        <v>43070</v>
      </c>
      <c r="B51" s="25">
        <v>5.0563999999999998E-2</v>
      </c>
    </row>
    <row r="52" spans="1:2" x14ac:dyDescent="0.25">
      <c r="A52" s="14">
        <v>43101</v>
      </c>
      <c r="B52" s="25">
        <v>4.5267000000000002E-2</v>
      </c>
    </row>
    <row r="53" spans="1:2" x14ac:dyDescent="0.25">
      <c r="A53" s="14">
        <v>43132</v>
      </c>
      <c r="B53" s="25">
        <v>4.9834999999999997E-2</v>
      </c>
    </row>
    <row r="54" spans="1:2" x14ac:dyDescent="0.25">
      <c r="A54" s="14">
        <v>43160</v>
      </c>
      <c r="B54" s="25">
        <v>3.7040999999999998E-2</v>
      </c>
    </row>
    <row r="55" spans="1:2" x14ac:dyDescent="0.25">
      <c r="A55" s="14">
        <v>43191</v>
      </c>
      <c r="B55" s="25">
        <v>7.1703000000000003E-2</v>
      </c>
    </row>
    <row r="56" spans="1:2" x14ac:dyDescent="0.25">
      <c r="A56" s="14">
        <v>43221</v>
      </c>
      <c r="B56" s="25">
        <v>7.8208E-2</v>
      </c>
    </row>
    <row r="57" spans="1:2" x14ac:dyDescent="0.25">
      <c r="A57" s="14">
        <v>43252</v>
      </c>
      <c r="B57" s="25">
        <v>0.127419</v>
      </c>
    </row>
    <row r="58" spans="1:2" x14ac:dyDescent="0.25">
      <c r="A58" s="14">
        <v>43282</v>
      </c>
      <c r="B58" s="25">
        <v>0.100065</v>
      </c>
    </row>
    <row r="59" spans="1:2" x14ac:dyDescent="0.25">
      <c r="A59" s="14">
        <v>43313</v>
      </c>
      <c r="B59" s="25">
        <v>6.5342999999999998E-2</v>
      </c>
    </row>
    <row r="60" spans="1:2" x14ac:dyDescent="0.25">
      <c r="A60" s="14">
        <v>43344</v>
      </c>
      <c r="B60" s="25">
        <v>3.163E-3</v>
      </c>
    </row>
    <row r="61" spans="1:2" x14ac:dyDescent="0.25">
      <c r="A61" s="14">
        <v>43374</v>
      </c>
      <c r="B61" s="25">
        <v>0</v>
      </c>
    </row>
    <row r="62" spans="1:2" x14ac:dyDescent="0.25">
      <c r="A62" s="14">
        <v>43405</v>
      </c>
      <c r="B62" s="25">
        <v>3.4009999999999999E-3</v>
      </c>
    </row>
    <row r="63" spans="1:2" x14ac:dyDescent="0.25">
      <c r="A63" s="14">
        <v>43435</v>
      </c>
      <c r="B63" s="25">
        <v>3.1359999999999999E-2</v>
      </c>
    </row>
    <row r="64" spans="1:2" x14ac:dyDescent="0.25">
      <c r="A64" s="14">
        <v>43466</v>
      </c>
      <c r="B64" s="25">
        <v>1.0895E-2</v>
      </c>
    </row>
    <row r="65" spans="1:14" x14ac:dyDescent="0.25">
      <c r="A65" s="14">
        <v>43497</v>
      </c>
      <c r="B65" s="25">
        <v>4.7711000000000003E-2</v>
      </c>
    </row>
    <row r="66" spans="1:14" x14ac:dyDescent="0.25">
      <c r="A66" s="14">
        <v>43525</v>
      </c>
      <c r="B66" s="25">
        <v>2.1010999999999998E-2</v>
      </c>
    </row>
    <row r="67" spans="1:14" x14ac:dyDescent="0.25">
      <c r="A67" s="14">
        <v>43556</v>
      </c>
      <c r="B67" s="25">
        <v>4.2083000000000002E-2</v>
      </c>
    </row>
    <row r="68" spans="1:14" x14ac:dyDescent="0.25">
      <c r="A68" s="14">
        <v>43586</v>
      </c>
      <c r="B68" s="25">
        <v>5.4078000000000001E-2</v>
      </c>
    </row>
    <row r="69" spans="1:14" x14ac:dyDescent="0.25">
      <c r="A69" s="14">
        <v>43617</v>
      </c>
      <c r="B69" s="25">
        <v>0.106305</v>
      </c>
    </row>
    <row r="70" spans="1:14" x14ac:dyDescent="0.25">
      <c r="A70" s="14">
        <v>43647</v>
      </c>
      <c r="B70" s="25">
        <v>0.104202</v>
      </c>
      <c r="M70" s="224"/>
      <c r="N70" s="94"/>
    </row>
    <row r="71" spans="1:14" x14ac:dyDescent="0.25">
      <c r="A71" s="14">
        <v>43678</v>
      </c>
      <c r="B71" s="25">
        <v>5.4970999999999999E-2</v>
      </c>
      <c r="M71" s="224"/>
      <c r="N71" s="94"/>
    </row>
    <row r="72" spans="1:14" x14ac:dyDescent="0.25">
      <c r="A72" s="14">
        <v>43709</v>
      </c>
      <c r="B72" s="25">
        <v>3.4021999999999997E-2</v>
      </c>
      <c r="M72" s="224"/>
      <c r="N72" s="94"/>
    </row>
    <row r="73" spans="1:14" x14ac:dyDescent="0.25">
      <c r="A73" s="14">
        <v>43739</v>
      </c>
      <c r="B73" s="25">
        <v>3.2586999999999998E-2</v>
      </c>
      <c r="M73" s="224"/>
      <c r="N73" s="94"/>
    </row>
    <row r="74" spans="1:14" x14ac:dyDescent="0.25">
      <c r="A74" s="14">
        <v>43770</v>
      </c>
      <c r="B74" s="25">
        <v>3.4629E-2</v>
      </c>
      <c r="M74" s="224"/>
      <c r="N74" s="94"/>
    </row>
    <row r="75" spans="1:14" x14ac:dyDescent="0.25">
      <c r="A75" s="14">
        <v>43800</v>
      </c>
      <c r="B75" s="25">
        <v>6.1619E-2</v>
      </c>
      <c r="M75" s="224"/>
      <c r="N75" s="94"/>
    </row>
    <row r="76" spans="1:14" x14ac:dyDescent="0.25">
      <c r="A76" s="14">
        <v>43831</v>
      </c>
      <c r="B76" s="25">
        <v>4.802E-2</v>
      </c>
      <c r="M76" s="224"/>
      <c r="N76" s="94"/>
    </row>
    <row r="77" spans="1:14" x14ac:dyDescent="0.25">
      <c r="A77" s="14">
        <v>43862</v>
      </c>
      <c r="B77" s="25">
        <v>3.8897000000000001E-2</v>
      </c>
      <c r="M77" s="224"/>
      <c r="N77" s="94"/>
    </row>
    <row r="78" spans="1:14" x14ac:dyDescent="0.25">
      <c r="A78" s="14">
        <v>43891</v>
      </c>
      <c r="B78" s="25">
        <v>3.6125999999999998E-2</v>
      </c>
      <c r="M78" s="224"/>
      <c r="N78" s="94"/>
    </row>
    <row r="79" spans="1:14" x14ac:dyDescent="0.25">
      <c r="A79" s="14">
        <v>43922</v>
      </c>
      <c r="B79" s="25">
        <v>5.3332999999999998E-2</v>
      </c>
      <c r="M79" s="224"/>
      <c r="N79" s="94"/>
    </row>
    <row r="80" spans="1:14" x14ac:dyDescent="0.25">
      <c r="A80" s="14">
        <v>43952</v>
      </c>
      <c r="B80" s="25">
        <v>5.8356999999999999E-2</v>
      </c>
      <c r="M80" s="224"/>
      <c r="N80" s="94"/>
    </row>
    <row r="81" spans="1:14" x14ac:dyDescent="0.25">
      <c r="A81" s="14">
        <v>43983</v>
      </c>
      <c r="B81" s="25">
        <v>8.8455000000000006E-2</v>
      </c>
      <c r="M81" s="224"/>
      <c r="N81" s="94"/>
    </row>
    <row r="82" spans="1:14" x14ac:dyDescent="0.25">
      <c r="A82" s="14">
        <v>44013</v>
      </c>
      <c r="B82" s="25">
        <v>7.6226000000000002E-2</v>
      </c>
      <c r="M82" s="224"/>
      <c r="N82" s="94"/>
    </row>
    <row r="83" spans="1:14" x14ac:dyDescent="0.25">
      <c r="A83" s="14">
        <v>44044</v>
      </c>
      <c r="B83" s="25">
        <v>4.0113000000000003E-2</v>
      </c>
      <c r="M83" s="224"/>
      <c r="N83" s="94"/>
    </row>
    <row r="84" spans="1:14" x14ac:dyDescent="0.25">
      <c r="A84" s="14">
        <v>44075</v>
      </c>
      <c r="B84" s="25">
        <v>3.5610999999999997E-2</v>
      </c>
      <c r="M84" s="224"/>
      <c r="N84" s="94"/>
    </row>
    <row r="85" spans="1:14" x14ac:dyDescent="0.25">
      <c r="A85" s="14">
        <v>44105</v>
      </c>
      <c r="B85" s="25">
        <v>3.2326000000000001E-2</v>
      </c>
      <c r="M85" s="224"/>
      <c r="N85" s="94"/>
    </row>
    <row r="86" spans="1:14" x14ac:dyDescent="0.25">
      <c r="A86" s="14">
        <v>44136</v>
      </c>
      <c r="B86" s="25">
        <v>3.1515000000000001E-2</v>
      </c>
      <c r="M86" s="224"/>
      <c r="N86" s="94"/>
    </row>
    <row r="87" spans="1:14"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c r="B131" s="25"/>
    </row>
    <row r="132" spans="1:3" x14ac:dyDescent="0.25">
      <c r="A132" s="14"/>
      <c r="B132" s="25"/>
    </row>
    <row r="133" spans="1:3" x14ac:dyDescent="0.25">
      <c r="A133" s="14"/>
      <c r="B133" s="25"/>
    </row>
    <row r="134" spans="1:3" x14ac:dyDescent="0.25">
      <c r="A134" s="14"/>
      <c r="B134" s="25"/>
    </row>
    <row r="135" spans="1:3" x14ac:dyDescent="0.25">
      <c r="A135" s="14"/>
      <c r="B135" s="25"/>
    </row>
    <row r="136" spans="1:3" x14ac:dyDescent="0.25">
      <c r="A136" s="14"/>
      <c r="B136" s="25"/>
    </row>
    <row r="137" spans="1:3" ht="75" x14ac:dyDescent="0.25">
      <c r="A137" s="27">
        <f>Pooling_Month</f>
        <v>45536</v>
      </c>
      <c r="B137" s="20" t="s">
        <v>140</v>
      </c>
    </row>
    <row r="138" spans="1:3" x14ac:dyDescent="0.25">
      <c r="A138" s="31" t="s">
        <v>60</v>
      </c>
      <c r="B138" s="32">
        <v>0</v>
      </c>
    </row>
    <row r="139" spans="1:3" ht="15.75" customHeight="1" x14ac:dyDescent="0.25"/>
    <row r="140" spans="1:3" hidden="1" x14ac:dyDescent="0.25">
      <c r="C140" t="s">
        <v>198</v>
      </c>
    </row>
    <row r="141" spans="1:3" ht="30" hidden="1" x14ac:dyDescent="0.25">
      <c r="A141" s="40" t="s">
        <v>202</v>
      </c>
      <c r="B141" s="95">
        <f>B120-B118</f>
        <v>0</v>
      </c>
    </row>
    <row r="142" spans="1:3" hidden="1" x14ac:dyDescent="0.25">
      <c r="A142" s="93" t="s">
        <v>209</v>
      </c>
      <c r="B142" s="95">
        <f>B130</f>
        <v>0</v>
      </c>
    </row>
    <row r="143" spans="1:3" hidden="1" x14ac:dyDescent="0.25">
      <c r="A143" s="91" t="s">
        <v>203</v>
      </c>
      <c r="B143" s="95">
        <f>SUM(B141:B142)</f>
        <v>0</v>
      </c>
      <c r="C143" t="s">
        <v>212</v>
      </c>
    </row>
    <row r="144" spans="1:3" hidden="1" x14ac:dyDescent="0.25">
      <c r="A144" s="92" t="s">
        <v>204</v>
      </c>
      <c r="B144" s="95">
        <f>B120</f>
        <v>0</v>
      </c>
      <c r="C144" t="s">
        <v>199</v>
      </c>
    </row>
    <row r="145" spans="1:4" hidden="1" x14ac:dyDescent="0.25">
      <c r="A145" t="s">
        <v>84</v>
      </c>
      <c r="B145" s="95">
        <f>AVERAGE(B143:B144)</f>
        <v>0</v>
      </c>
    </row>
    <row r="146" spans="1:4" hidden="1" x14ac:dyDescent="0.25">
      <c r="B146" s="95"/>
    </row>
    <row r="147" spans="1:4" hidden="1" x14ac:dyDescent="0.25">
      <c r="A147" s="92" t="s">
        <v>205</v>
      </c>
      <c r="B147" s="95">
        <f>B108</f>
        <v>3.4480999999999998E-2</v>
      </c>
    </row>
    <row r="148" spans="1:4" hidden="1" x14ac:dyDescent="0.25">
      <c r="A148" s="91" t="s">
        <v>206</v>
      </c>
      <c r="B148" s="25">
        <f>B96</f>
        <v>1.0808E-2</v>
      </c>
    </row>
    <row r="149" spans="1:4" hidden="1" x14ac:dyDescent="0.25">
      <c r="A149" s="40" t="s">
        <v>207</v>
      </c>
      <c r="B149" s="25">
        <f>AVERAGE(B143,B144,B147,B148)</f>
        <v>1.1322249999999999E-2</v>
      </c>
    </row>
    <row r="150" spans="1:4" hidden="1" x14ac:dyDescent="0.25">
      <c r="A150" s="40" t="s">
        <v>208</v>
      </c>
      <c r="B150" s="25">
        <f>AVERAGE(B143,B144,B147)</f>
        <v>1.1493666666666666E-2</v>
      </c>
    </row>
    <row r="155" spans="1:4" x14ac:dyDescent="0.25">
      <c r="D155" s="218"/>
    </row>
  </sheetData>
  <sheetProtection algorithmName="SHA-512" hashValue="Nxv9JGHcwNw37phMwl4FaXSUmiAZ8K3pd0hSW+AC8y+Vbj5s3fPw7GJLiZ3DwgWSVNlKK0PX7JJ52W2ShN1YkQ==" saltValue="95uit9hsxHs+AgCffFS6F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2024-08-21T20:03:26Z</dcterms:modified>
</cp:coreProperties>
</file>